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8"/>
  <workbookPr filterPrivacy="1" defaultThemeVersion="124226"/>
  <xr:revisionPtr revIDLastSave="0" documentId="8_{2812942F-764F-484E-888D-A335A123E77F}" xr6:coauthVersionLast="45" xr6:coauthVersionMax="45" xr10:uidLastSave="{00000000-0000-0000-0000-000000000000}"/>
  <bookViews>
    <workbookView xWindow="180" yWindow="620" windowWidth="28620" windowHeight="16140" xr2:uid="{00000000-000D-0000-FFFF-FFFF00000000}"/>
  </bookViews>
  <sheets>
    <sheet name="Income Statement_P&amp;L" sheetId="7" r:id="rId1"/>
    <sheet name="Balance" sheetId="3" r:id="rId2"/>
    <sheet name=" Cash Flow" sheetId="2" r:id="rId3"/>
    <sheet name="Valuation" sheetId="5" r:id="rId4"/>
    <sheet name="6. Ingeniería" sheetId="11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3" l="1"/>
  <c r="P9" i="7"/>
  <c r="O9" i="7"/>
  <c r="N9" i="7"/>
  <c r="M9" i="7"/>
  <c r="L9" i="7"/>
  <c r="P13" i="7"/>
  <c r="O13" i="7"/>
  <c r="N13" i="7"/>
  <c r="M13" i="7"/>
  <c r="L13" i="7"/>
  <c r="K9" i="7"/>
  <c r="L19" i="7"/>
  <c r="M19" i="7"/>
  <c r="P6" i="7"/>
  <c r="O6" i="7"/>
  <c r="N6" i="7"/>
  <c r="M6" i="7"/>
  <c r="L6" i="7"/>
  <c r="K10" i="2" l="1"/>
  <c r="L10" i="2" s="1"/>
  <c r="M10" i="2" s="1"/>
  <c r="N10" i="2" s="1"/>
  <c r="O10" i="2" s="1"/>
  <c r="P38" i="3" l="1"/>
  <c r="E59" i="5" l="1"/>
  <c r="J26" i="2"/>
  <c r="K33" i="3" l="1"/>
  <c r="K27" i="3"/>
  <c r="K28" i="3" s="1"/>
  <c r="K8" i="7"/>
  <c r="H20" i="2"/>
  <c r="G20" i="2"/>
  <c r="F20" i="2"/>
  <c r="E20" i="2"/>
  <c r="D20" i="2"/>
  <c r="K22" i="5"/>
  <c r="J22" i="3"/>
  <c r="H38" i="3" l="1"/>
  <c r="P27" i="3"/>
  <c r="O27" i="3"/>
  <c r="N27" i="3"/>
  <c r="M27" i="3"/>
  <c r="L27" i="3"/>
  <c r="D36" i="7"/>
  <c r="E3" i="7"/>
  <c r="F3" i="7" s="1"/>
  <c r="F36" i="7" s="1"/>
  <c r="E6" i="7"/>
  <c r="F6" i="7"/>
  <c r="D8" i="7"/>
  <c r="E8" i="7"/>
  <c r="F8" i="7"/>
  <c r="D9" i="7"/>
  <c r="D10" i="7" s="1"/>
  <c r="E9" i="7"/>
  <c r="F9" i="7"/>
  <c r="E11" i="2" s="1"/>
  <c r="D13" i="7"/>
  <c r="E13" i="7"/>
  <c r="F13" i="7"/>
  <c r="E14" i="7"/>
  <c r="F14" i="7"/>
  <c r="D17" i="7"/>
  <c r="D20" i="7" s="1"/>
  <c r="D22" i="7" s="1"/>
  <c r="E17" i="7"/>
  <c r="E20" i="7" s="1"/>
  <c r="E22" i="7" s="1"/>
  <c r="F17" i="7"/>
  <c r="F19" i="7" s="1"/>
  <c r="D38" i="7"/>
  <c r="E38" i="7"/>
  <c r="F38" i="7"/>
  <c r="D94" i="7"/>
  <c r="E100" i="7"/>
  <c r="E101" i="7" s="1"/>
  <c r="E102" i="7"/>
  <c r="F103" i="7" s="1"/>
  <c r="D39" i="7" l="1"/>
  <c r="L29" i="3"/>
  <c r="P29" i="3"/>
  <c r="M29" i="3"/>
  <c r="O29" i="3"/>
  <c r="E12" i="2"/>
  <c r="E17" i="2"/>
  <c r="E10" i="7"/>
  <c r="D11" i="2"/>
  <c r="E94" i="7"/>
  <c r="E19" i="7"/>
  <c r="F10" i="7"/>
  <c r="O28" i="3"/>
  <c r="N28" i="3"/>
  <c r="N29" i="3"/>
  <c r="P28" i="3"/>
  <c r="M28" i="3"/>
  <c r="F20" i="7"/>
  <c r="F22" i="7" s="1"/>
  <c r="F24" i="7" s="1"/>
  <c r="D19" i="7"/>
  <c r="E36" i="7"/>
  <c r="G3" i="7"/>
  <c r="G36" i="7" s="1"/>
  <c r="F94" i="7"/>
  <c r="E103" i="7"/>
  <c r="E39" i="7"/>
  <c r="D23" i="7"/>
  <c r="D24" i="7"/>
  <c r="E24" i="7"/>
  <c r="E23" i="7"/>
  <c r="F101" i="7"/>
  <c r="F23" i="7" l="1"/>
  <c r="D12" i="2"/>
  <c r="D17" i="2"/>
  <c r="J9" i="7"/>
  <c r="I11" i="2" s="1"/>
  <c r="L11" i="7"/>
  <c r="I12" i="2" l="1"/>
  <c r="I17" i="2"/>
  <c r="L25" i="7"/>
  <c r="M25" i="7" s="1"/>
  <c r="N25" i="7" s="1"/>
  <c r="O25" i="7" s="1"/>
  <c r="P25" i="7" s="1"/>
  <c r="J25" i="2"/>
  <c r="J11" i="5"/>
  <c r="K8" i="2"/>
  <c r="L8" i="2" s="1"/>
  <c r="M8" i="2" s="1"/>
  <c r="I19" i="2"/>
  <c r="I20" i="2" s="1"/>
  <c r="I11" i="5"/>
  <c r="P19" i="7"/>
  <c r="O19" i="7"/>
  <c r="N19" i="7"/>
  <c r="I17" i="7"/>
  <c r="I20" i="7" s="1"/>
  <c r="I22" i="7" s="1"/>
  <c r="H17" i="7"/>
  <c r="H20" i="7" s="1"/>
  <c r="H22" i="7" s="1"/>
  <c r="G17" i="7"/>
  <c r="G20" i="7" s="1"/>
  <c r="G22" i="7" s="1"/>
  <c r="K14" i="7"/>
  <c r="J14" i="7"/>
  <c r="I14" i="7"/>
  <c r="H14" i="7"/>
  <c r="G14" i="7"/>
  <c r="K13" i="7"/>
  <c r="J13" i="7"/>
  <c r="I13" i="7"/>
  <c r="H13" i="7"/>
  <c r="G13" i="7"/>
  <c r="J10" i="7"/>
  <c r="I9" i="7"/>
  <c r="H9" i="7"/>
  <c r="G9" i="7"/>
  <c r="J8" i="7"/>
  <c r="I8" i="7"/>
  <c r="H8" i="7"/>
  <c r="G8" i="7"/>
  <c r="K6" i="7"/>
  <c r="J6" i="7"/>
  <c r="I6" i="7"/>
  <c r="H6" i="7"/>
  <c r="G6" i="7"/>
  <c r="N8" i="2" l="1"/>
  <c r="H10" i="7"/>
  <c r="G11" i="2"/>
  <c r="I10" i="7"/>
  <c r="H11" i="2"/>
  <c r="G10" i="7"/>
  <c r="F11" i="2"/>
  <c r="G23" i="7"/>
  <c r="G24" i="7"/>
  <c r="H24" i="7"/>
  <c r="H23" i="7"/>
  <c r="I24" i="7"/>
  <c r="I23" i="7"/>
  <c r="G19" i="7"/>
  <c r="J17" i="7"/>
  <c r="J22" i="7" s="1"/>
  <c r="H19" i="7"/>
  <c r="K17" i="7"/>
  <c r="I19" i="7"/>
  <c r="M33" i="5"/>
  <c r="M32" i="5" s="1"/>
  <c r="J25" i="5"/>
  <c r="J16" i="5"/>
  <c r="E27" i="3"/>
  <c r="F38" i="3"/>
  <c r="G38" i="3"/>
  <c r="I38" i="3"/>
  <c r="J38" i="3"/>
  <c r="E38" i="3"/>
  <c r="F33" i="3"/>
  <c r="G33" i="3"/>
  <c r="H33" i="3"/>
  <c r="I33" i="3"/>
  <c r="J33" i="3"/>
  <c r="E33" i="3"/>
  <c r="F30" i="3"/>
  <c r="G30" i="3"/>
  <c r="H30" i="3"/>
  <c r="H35" i="3" s="1"/>
  <c r="I30" i="3"/>
  <c r="J30" i="3"/>
  <c r="K30" i="3"/>
  <c r="K35" i="3" s="1"/>
  <c r="E30" i="3"/>
  <c r="E35" i="3" s="1"/>
  <c r="F27" i="3"/>
  <c r="G27" i="3"/>
  <c r="H27" i="3"/>
  <c r="I27" i="3"/>
  <c r="I36" i="3" s="1"/>
  <c r="J27" i="3"/>
  <c r="O8" i="2" l="1"/>
  <c r="J19" i="2"/>
  <c r="H12" i="2"/>
  <c r="H17" i="2"/>
  <c r="G12" i="2"/>
  <c r="G17" i="2"/>
  <c r="F12" i="2"/>
  <c r="F17" i="2"/>
  <c r="H36" i="3"/>
  <c r="G35" i="3"/>
  <c r="J35" i="3"/>
  <c r="L28" i="3"/>
  <c r="K36" i="3"/>
  <c r="G36" i="3"/>
  <c r="F35" i="3"/>
  <c r="J36" i="3"/>
  <c r="F36" i="3"/>
  <c r="I35" i="3"/>
  <c r="E36" i="3"/>
  <c r="K20" i="7"/>
  <c r="K19" i="7"/>
  <c r="J19" i="7"/>
  <c r="J20" i="7"/>
  <c r="J11" i="2" l="1"/>
  <c r="J20" i="2"/>
  <c r="K22" i="7"/>
  <c r="K24" i="7" s="1"/>
  <c r="J24" i="7"/>
  <c r="J23" i="7"/>
  <c r="K23" i="7" l="1"/>
  <c r="K40" i="3"/>
  <c r="J16" i="2"/>
  <c r="J14" i="2"/>
  <c r="J23" i="2"/>
  <c r="J12" i="2"/>
  <c r="J14" i="5" s="1"/>
  <c r="J17" i="2"/>
  <c r="J15" i="2"/>
  <c r="F40" i="3"/>
  <c r="G40" i="3"/>
  <c r="H40" i="3"/>
  <c r="I40" i="3"/>
  <c r="J40" i="3"/>
  <c r="E40" i="3"/>
  <c r="F28" i="3"/>
  <c r="G28" i="3"/>
  <c r="H28" i="3"/>
  <c r="I28" i="3"/>
  <c r="J28" i="3"/>
  <c r="F32" i="3"/>
  <c r="G32" i="3"/>
  <c r="H32" i="3"/>
  <c r="I32" i="3"/>
  <c r="J32" i="3"/>
  <c r="K32" i="3"/>
  <c r="M96" i="7"/>
  <c r="M97" i="7"/>
  <c r="M98" i="7"/>
  <c r="L95" i="7"/>
  <c r="M95" i="7" s="1"/>
  <c r="L98" i="7"/>
  <c r="L97" i="7"/>
  <c r="L96" i="7"/>
  <c r="E22" i="3"/>
  <c r="F22" i="3"/>
  <c r="G22" i="3"/>
  <c r="H22" i="3"/>
  <c r="I22" i="3"/>
  <c r="D22" i="3"/>
  <c r="D17" i="3"/>
  <c r="D18" i="3"/>
  <c r="D20" i="3" s="1"/>
  <c r="D21" i="3" l="1"/>
  <c r="M15" i="11" l="1"/>
  <c r="L15" i="11"/>
  <c r="M19" i="11"/>
  <c r="L19" i="11"/>
  <c r="L16" i="11"/>
  <c r="M16" i="11" s="1"/>
  <c r="L13" i="11"/>
  <c r="M13" i="11" s="1"/>
  <c r="L18" i="11"/>
  <c r="M18" i="11" s="1"/>
  <c r="L14" i="11"/>
  <c r="M14" i="11" s="1"/>
  <c r="M9" i="11"/>
  <c r="L9" i="11"/>
  <c r="L8" i="11"/>
  <c r="M8" i="11" s="1"/>
  <c r="E15" i="11"/>
  <c r="F15" i="11"/>
  <c r="G15" i="11"/>
  <c r="H15" i="11"/>
  <c r="I15" i="11"/>
  <c r="J15" i="11"/>
  <c r="K15" i="11"/>
  <c r="D15" i="11"/>
  <c r="N26" i="11"/>
  <c r="N25" i="11"/>
  <c r="F11" i="11"/>
  <c r="G11" i="11"/>
  <c r="H11" i="11"/>
  <c r="I11" i="11"/>
  <c r="J11" i="11"/>
  <c r="K11" i="11"/>
  <c r="E11" i="11"/>
  <c r="F9" i="11"/>
  <c r="G9" i="11"/>
  <c r="H9" i="11"/>
  <c r="I9" i="11"/>
  <c r="J9" i="11"/>
  <c r="K9" i="11"/>
  <c r="E9" i="11"/>
  <c r="R14" i="11"/>
  <c r="R13" i="11"/>
  <c r="R12" i="11"/>
  <c r="R11" i="11"/>
  <c r="R10" i="11"/>
  <c r="R9" i="11"/>
  <c r="R8" i="11"/>
  <c r="E2" i="11"/>
  <c r="F2" i="11" s="1"/>
  <c r="G2" i="11" s="1"/>
  <c r="H2" i="11" s="1"/>
  <c r="I2" i="11" s="1"/>
  <c r="J2" i="11" s="1"/>
  <c r="K2" i="11" s="1"/>
  <c r="L2" i="11" s="1"/>
  <c r="M2" i="11" s="1"/>
  <c r="G25" i="11"/>
  <c r="G27" i="11" s="1"/>
  <c r="J24" i="11" s="1"/>
  <c r="E17" i="11"/>
  <c r="E19" i="11" s="1"/>
  <c r="F17" i="11"/>
  <c r="F19" i="11" s="1"/>
  <c r="G17" i="11"/>
  <c r="G19" i="11" s="1"/>
  <c r="H17" i="11"/>
  <c r="H19" i="11" s="1"/>
  <c r="I17" i="11"/>
  <c r="I19" i="11" s="1"/>
  <c r="J17" i="11"/>
  <c r="J20" i="11" s="1"/>
  <c r="K17" i="11"/>
  <c r="K19" i="11" s="1"/>
  <c r="D17" i="11"/>
  <c r="D20" i="11" s="1"/>
  <c r="E21" i="11"/>
  <c r="F21" i="11"/>
  <c r="G21" i="11"/>
  <c r="H21" i="11"/>
  <c r="I21" i="11"/>
  <c r="J21" i="11"/>
  <c r="K21" i="11"/>
  <c r="D21" i="11"/>
  <c r="P10" i="11"/>
  <c r="D41" i="11"/>
  <c r="D42" i="11" s="1"/>
  <c r="D44" i="11" s="1"/>
  <c r="D45" i="11" s="1"/>
  <c r="D31" i="11"/>
  <c r="D26" i="11"/>
  <c r="E29" i="3"/>
  <c r="F29" i="3"/>
  <c r="G29" i="3"/>
  <c r="H29" i="3"/>
  <c r="I29" i="3"/>
  <c r="J29" i="3"/>
  <c r="K29" i="3"/>
  <c r="E31" i="3"/>
  <c r="F31" i="3"/>
  <c r="G31" i="3"/>
  <c r="H31" i="3"/>
  <c r="I31" i="3"/>
  <c r="J31" i="3"/>
  <c r="K31" i="3"/>
  <c r="E34" i="3"/>
  <c r="F34" i="3"/>
  <c r="G34" i="3"/>
  <c r="H34" i="3"/>
  <c r="I34" i="3"/>
  <c r="D28" i="11" l="1"/>
  <c r="D46" i="11" s="1"/>
  <c r="D47" i="11" s="1"/>
  <c r="D48" i="11" s="1"/>
  <c r="D49" i="11" s="1"/>
  <c r="D33" i="11"/>
  <c r="M21" i="11"/>
  <c r="M17" i="11"/>
  <c r="M20" i="11" s="1"/>
  <c r="L17" i="11"/>
  <c r="L20" i="11" s="1"/>
  <c r="L21" i="11"/>
  <c r="D19" i="11"/>
  <c r="J19" i="11"/>
  <c r="J26" i="11"/>
  <c r="K20" i="11"/>
  <c r="J27" i="11" s="1"/>
  <c r="I20" i="11"/>
  <c r="F20" i="11"/>
  <c r="H20" i="11"/>
  <c r="J25" i="11"/>
  <c r="G20" i="11"/>
  <c r="E20" i="11"/>
  <c r="P19" i="11" l="1"/>
  <c r="H3" i="7" l="1"/>
  <c r="G94" i="7"/>
  <c r="E58" i="5"/>
  <c r="G69" i="5" s="1"/>
  <c r="K18" i="5"/>
  <c r="E9" i="5"/>
  <c r="F9" i="5"/>
  <c r="D9" i="5"/>
  <c r="E4" i="3"/>
  <c r="F4" i="3"/>
  <c r="E26" i="3"/>
  <c r="F26" i="3"/>
  <c r="G26" i="3"/>
  <c r="D4" i="3"/>
  <c r="E5" i="2"/>
  <c r="F5" i="2"/>
  <c r="D5" i="2"/>
  <c r="G38" i="7"/>
  <c r="F39" i="7" s="1"/>
  <c r="H38" i="7"/>
  <c r="I38" i="7"/>
  <c r="J38" i="7"/>
  <c r="K38" i="7"/>
  <c r="K39" i="7" s="1"/>
  <c r="F18" i="3"/>
  <c r="F20" i="3" s="1"/>
  <c r="J34" i="3"/>
  <c r="K34" i="3"/>
  <c r="G103" i="7"/>
  <c r="H103" i="7"/>
  <c r="I103" i="7"/>
  <c r="J103" i="7"/>
  <c r="K103" i="7"/>
  <c r="L103" i="7"/>
  <c r="G66" i="5"/>
  <c r="F17" i="3"/>
  <c r="G17" i="3"/>
  <c r="H17" i="3"/>
  <c r="I17" i="3"/>
  <c r="J17" i="3"/>
  <c r="G18" i="3"/>
  <c r="G20" i="3" s="1"/>
  <c r="H18" i="3"/>
  <c r="H20" i="3" s="1"/>
  <c r="I18" i="3"/>
  <c r="I20" i="3" s="1"/>
  <c r="J18" i="3"/>
  <c r="E17" i="3"/>
  <c r="E18" i="3"/>
  <c r="E20" i="3" s="1"/>
  <c r="G9" i="5" l="1"/>
  <c r="H36" i="7"/>
  <c r="G5" i="2"/>
  <c r="H26" i="3"/>
  <c r="G4" i="3"/>
  <c r="J22" i="2"/>
  <c r="M38" i="5"/>
  <c r="J20" i="3"/>
  <c r="M36" i="5" s="1"/>
  <c r="M35" i="5"/>
  <c r="G101" i="7"/>
  <c r="E19" i="3"/>
  <c r="H101" i="7"/>
  <c r="F19" i="3"/>
  <c r="I101" i="7"/>
  <c r="K101" i="7"/>
  <c r="I19" i="3"/>
  <c r="J26" i="5"/>
  <c r="J15" i="5"/>
  <c r="M34" i="5"/>
  <c r="F21" i="3"/>
  <c r="G21" i="3"/>
  <c r="H21" i="3"/>
  <c r="E21" i="3"/>
  <c r="I21" i="3"/>
  <c r="J21" i="3"/>
  <c r="R5" i="3" s="1"/>
  <c r="I3" i="7"/>
  <c r="I36" i="7" s="1"/>
  <c r="H94" i="7"/>
  <c r="H37" i="3"/>
  <c r="F37" i="3"/>
  <c r="I78" i="7"/>
  <c r="O78" i="7"/>
  <c r="P78" i="7"/>
  <c r="N78" i="7"/>
  <c r="M78" i="7"/>
  <c r="L78" i="7"/>
  <c r="K78" i="7"/>
  <c r="J78" i="7"/>
  <c r="K37" i="3"/>
  <c r="J37" i="3"/>
  <c r="I37" i="3"/>
  <c r="G37" i="3"/>
  <c r="E37" i="3"/>
  <c r="H39" i="7"/>
  <c r="F18" i="5"/>
  <c r="G39" i="7"/>
  <c r="I39" i="7"/>
  <c r="J13" i="5"/>
  <c r="J39" i="7"/>
  <c r="T8" i="3" l="1"/>
  <c r="G19" i="3"/>
  <c r="L101" i="7"/>
  <c r="J23" i="5"/>
  <c r="J19" i="3"/>
  <c r="D19" i="3"/>
  <c r="H19" i="3"/>
  <c r="G10" i="5"/>
  <c r="I10" i="5"/>
  <c r="E10" i="5"/>
  <c r="F10" i="5"/>
  <c r="J24" i="5"/>
  <c r="E54" i="5"/>
  <c r="J10" i="5"/>
  <c r="J27" i="5"/>
  <c r="H10" i="5"/>
  <c r="J101" i="7"/>
  <c r="M37" i="5"/>
  <c r="Y34" i="3"/>
  <c r="X34" i="3"/>
  <c r="V34" i="3"/>
  <c r="T34" i="3"/>
  <c r="Z34" i="3"/>
  <c r="W34" i="3"/>
  <c r="U34" i="3"/>
  <c r="J3" i="7"/>
  <c r="I94" i="7"/>
  <c r="H9" i="5"/>
  <c r="I26" i="3"/>
  <c r="H4" i="3"/>
  <c r="H5" i="2"/>
  <c r="S34" i="3"/>
  <c r="Q34" i="3"/>
  <c r="R34" i="3"/>
  <c r="J36" i="7" l="1"/>
  <c r="I5" i="2"/>
  <c r="T7" i="3"/>
  <c r="W33" i="3"/>
  <c r="T33" i="3"/>
  <c r="X33" i="3"/>
  <c r="U33" i="3"/>
  <c r="Y33" i="3"/>
  <c r="V33" i="3"/>
  <c r="Z33" i="3"/>
  <c r="K3" i="7"/>
  <c r="J94" i="7"/>
  <c r="I9" i="5"/>
  <c r="J26" i="3"/>
  <c r="I4" i="3"/>
  <c r="R33" i="3"/>
  <c r="P79" i="7"/>
  <c r="J79" i="7"/>
  <c r="S33" i="3"/>
  <c r="Q33" i="3"/>
  <c r="I79" i="7"/>
  <c r="K79" i="7"/>
  <c r="L79" i="7"/>
  <c r="M79" i="7"/>
  <c r="N79" i="7"/>
  <c r="O79" i="7"/>
  <c r="K36" i="7" l="1"/>
  <c r="J5" i="2"/>
  <c r="L3" i="7"/>
  <c r="K94" i="7"/>
  <c r="J9" i="5"/>
  <c r="J22" i="5" s="1"/>
  <c r="K26" i="3"/>
  <c r="L26" i="3" s="1"/>
  <c r="M26" i="3" s="1"/>
  <c r="N26" i="3" s="1"/>
  <c r="O26" i="3" s="1"/>
  <c r="P26" i="3" s="1"/>
  <c r="J4" i="3"/>
  <c r="K4" i="3" s="1"/>
  <c r="L4" i="3" s="1"/>
  <c r="M4" i="3" s="1"/>
  <c r="N4" i="3" s="1"/>
  <c r="O4" i="3" s="1"/>
  <c r="M3" i="7" l="1"/>
  <c r="K5" i="2"/>
  <c r="L22" i="5" l="1"/>
  <c r="N3" i="7"/>
  <c r="L5" i="2"/>
  <c r="M22" i="5" l="1"/>
  <c r="O3" i="7"/>
  <c r="M5" i="2"/>
  <c r="N22" i="5" l="1"/>
  <c r="P3" i="7"/>
  <c r="N5" i="2"/>
  <c r="O22" i="5" l="1"/>
  <c r="O5" i="2"/>
  <c r="D10" i="5"/>
  <c r="M11" i="7" l="1"/>
  <c r="N11" i="7" s="1"/>
  <c r="O11" i="7" s="1"/>
  <c r="P11" i="7" s="1"/>
  <c r="K6" i="3"/>
  <c r="L6" i="3" s="1"/>
  <c r="M6" i="3" s="1"/>
  <c r="N6" i="3" s="1"/>
  <c r="O6" i="3" s="1"/>
  <c r="K10" i="3"/>
  <c r="L10" i="3" s="1"/>
  <c r="K13" i="3"/>
  <c r="L13" i="3" s="1"/>
  <c r="K6" i="2"/>
  <c r="L6" i="2" s="1"/>
  <c r="K7" i="2"/>
  <c r="L7" i="2" s="1"/>
  <c r="M7" i="2" s="1"/>
  <c r="K15" i="3"/>
  <c r="L15" i="3" s="1"/>
  <c r="M15" i="3" s="1"/>
  <c r="N15" i="3" s="1"/>
  <c r="O15" i="3" s="1"/>
  <c r="K14" i="3"/>
  <c r="L14" i="3"/>
  <c r="M14" i="3" s="1"/>
  <c r="N14" i="3" s="1"/>
  <c r="O14" i="3" s="1"/>
  <c r="K8" i="3"/>
  <c r="L30" i="3" s="1"/>
  <c r="L8" i="3"/>
  <c r="M8" i="3" s="1"/>
  <c r="N8" i="3" s="1"/>
  <c r="K12" i="3"/>
  <c r="L33" i="3" s="1"/>
  <c r="L34" i="3" s="1"/>
  <c r="L15" i="7"/>
  <c r="M15" i="7" s="1"/>
  <c r="N15" i="7" s="1"/>
  <c r="O15" i="7" s="1"/>
  <c r="P15" i="7" s="1"/>
  <c r="L5" i="7"/>
  <c r="K25" i="2" s="1"/>
  <c r="K9" i="3"/>
  <c r="L9" i="3"/>
  <c r="M9" i="3" s="1"/>
  <c r="N9" i="3" s="1"/>
  <c r="O9" i="3" s="1"/>
  <c r="K22" i="3" l="1"/>
  <c r="M30" i="3"/>
  <c r="O30" i="3"/>
  <c r="O8" i="3"/>
  <c r="P30" i="3" s="1"/>
  <c r="L17" i="3"/>
  <c r="M32" i="3"/>
  <c r="N7" i="2"/>
  <c r="M5" i="7"/>
  <c r="L12" i="7"/>
  <c r="K25" i="5" s="1"/>
  <c r="N30" i="3"/>
  <c r="L36" i="3"/>
  <c r="L32" i="3"/>
  <c r="L35" i="3"/>
  <c r="L31" i="3"/>
  <c r="L22" i="3"/>
  <c r="K26" i="2"/>
  <c r="K17" i="3"/>
  <c r="K18" i="3"/>
  <c r="M13" i="3"/>
  <c r="M10" i="3"/>
  <c r="L12" i="3"/>
  <c r="L18" i="3"/>
  <c r="L38" i="3"/>
  <c r="K38" i="3"/>
  <c r="N5" i="7" l="1"/>
  <c r="M12" i="7"/>
  <c r="M31" i="3"/>
  <c r="L26" i="2"/>
  <c r="M22" i="3"/>
  <c r="N10" i="3"/>
  <c r="M18" i="3"/>
  <c r="M38" i="3"/>
  <c r="N13" i="3"/>
  <c r="M17" i="3"/>
  <c r="O7" i="2"/>
  <c r="N32" i="3"/>
  <c r="N31" i="3"/>
  <c r="P32" i="3"/>
  <c r="M12" i="3"/>
  <c r="M33" i="3"/>
  <c r="L25" i="2"/>
  <c r="L14" i="7"/>
  <c r="K20" i="3"/>
  <c r="L17" i="7"/>
  <c r="K16" i="5"/>
  <c r="K21" i="3"/>
  <c r="O32" i="3"/>
  <c r="L18" i="7" l="1"/>
  <c r="L20" i="7" s="1"/>
  <c r="L22" i="7" s="1"/>
  <c r="O13" i="3"/>
  <c r="N38" i="3"/>
  <c r="N18" i="3"/>
  <c r="N17" i="3"/>
  <c r="M34" i="3"/>
  <c r="M35" i="3"/>
  <c r="M36" i="3"/>
  <c r="N12" i="3"/>
  <c r="N33" i="3"/>
  <c r="O10" i="3"/>
  <c r="O22" i="3" s="1"/>
  <c r="N22" i="3"/>
  <c r="L21" i="3"/>
  <c r="M17" i="7"/>
  <c r="L16" i="5"/>
  <c r="M14" i="7"/>
  <c r="L20" i="3"/>
  <c r="L25" i="5"/>
  <c r="O5" i="7"/>
  <c r="N12" i="7"/>
  <c r="M25" i="2"/>
  <c r="M26" i="2"/>
  <c r="N34" i="3" l="1"/>
  <c r="N35" i="3"/>
  <c r="N36" i="3"/>
  <c r="P5" i="7"/>
  <c r="O12" i="7"/>
  <c r="N26" i="2"/>
  <c r="O31" i="3"/>
  <c r="N25" i="2"/>
  <c r="O12" i="3"/>
  <c r="P33" i="3" s="1"/>
  <c r="O33" i="3"/>
  <c r="M18" i="7"/>
  <c r="M20" i="7" s="1"/>
  <c r="M22" i="7" s="1"/>
  <c r="O17" i="3"/>
  <c r="O38" i="3"/>
  <c r="O18" i="3"/>
  <c r="K19" i="3"/>
  <c r="L23" i="7"/>
  <c r="L24" i="7"/>
  <c r="K13" i="5"/>
  <c r="K23" i="5"/>
  <c r="M16" i="5"/>
  <c r="D16" i="5" s="1"/>
  <c r="M20" i="3"/>
  <c r="M21" i="3"/>
  <c r="N17" i="7"/>
  <c r="N14" i="7"/>
  <c r="M25" i="5"/>
  <c r="L19" i="3" l="1"/>
  <c r="M24" i="7"/>
  <c r="M23" i="7"/>
  <c r="L23" i="5"/>
  <c r="L13" i="5"/>
  <c r="P12" i="7"/>
  <c r="P31" i="3"/>
  <c r="O25" i="2"/>
  <c r="O26" i="2"/>
  <c r="O34" i="3"/>
  <c r="O36" i="3"/>
  <c r="O35" i="3"/>
  <c r="P34" i="3"/>
  <c r="P35" i="3"/>
  <c r="P36" i="3"/>
  <c r="N18" i="7"/>
  <c r="N20" i="7" s="1"/>
  <c r="N22" i="7" s="1"/>
  <c r="O17" i="7"/>
  <c r="N16" i="5"/>
  <c r="N20" i="3"/>
  <c r="O14" i="7"/>
  <c r="N21" i="3"/>
  <c r="N25" i="5"/>
  <c r="P14" i="7" l="1"/>
  <c r="P17" i="7"/>
  <c r="O16" i="5"/>
  <c r="E16" i="5" s="1"/>
  <c r="O20" i="3"/>
  <c r="O21" i="3"/>
  <c r="O25" i="5"/>
  <c r="O18" i="7"/>
  <c r="O20" i="7" s="1"/>
  <c r="O22" i="7" s="1"/>
  <c r="M19" i="3"/>
  <c r="N23" i="7"/>
  <c r="N24" i="7"/>
  <c r="M13" i="5"/>
  <c r="D13" i="5" s="1"/>
  <c r="M23" i="5"/>
  <c r="O24" i="7" l="1"/>
  <c r="O23" i="7"/>
  <c r="N19" i="3"/>
  <c r="N23" i="5"/>
  <c r="N13" i="5"/>
  <c r="P18" i="7"/>
  <c r="P20" i="7" s="1"/>
  <c r="P22" i="7" s="1"/>
  <c r="P23" i="7" l="1"/>
  <c r="P24" i="7"/>
  <c r="O19" i="3"/>
  <c r="O13" i="5"/>
  <c r="E13" i="5" s="1"/>
  <c r="O23" i="5"/>
  <c r="K19" i="2"/>
  <c r="K20" i="2" s="1"/>
  <c r="L41" i="3"/>
  <c r="K26" i="5"/>
  <c r="K15" i="5"/>
  <c r="K11" i="5"/>
  <c r="L10" i="7"/>
  <c r="K11" i="2"/>
  <c r="K12" i="2" s="1"/>
  <c r="K14" i="5" s="1"/>
  <c r="K13" i="2" l="1"/>
  <c r="K24" i="5"/>
  <c r="K23" i="2"/>
  <c r="L40" i="3"/>
  <c r="K17" i="2"/>
  <c r="K27" i="5"/>
  <c r="K10" i="5"/>
  <c r="K14" i="2"/>
  <c r="K15" i="2"/>
  <c r="K22" i="2"/>
  <c r="K16" i="2"/>
  <c r="N19" i="2"/>
  <c r="N20" i="2" s="1"/>
  <c r="M15" i="5"/>
  <c r="D15" i="5" s="1"/>
  <c r="L19" i="2"/>
  <c r="L20" i="2" s="1"/>
  <c r="O19" i="2"/>
  <c r="O20" i="2" s="1"/>
  <c r="M19" i="2"/>
  <c r="M20" i="2" s="1"/>
  <c r="O15" i="5"/>
  <c r="E15" i="5" s="1"/>
  <c r="O11" i="5"/>
  <c r="P41" i="3"/>
  <c r="O26" i="5"/>
  <c r="N26" i="5"/>
  <c r="O41" i="3"/>
  <c r="N15" i="5"/>
  <c r="N11" i="5"/>
  <c r="M11" i="5"/>
  <c r="N41" i="3"/>
  <c r="M26" i="5"/>
  <c r="L11" i="5"/>
  <c r="L15" i="5"/>
  <c r="L26" i="5"/>
  <c r="M41" i="3"/>
  <c r="N10" i="7"/>
  <c r="M11" i="2"/>
  <c r="M17" i="2" s="1"/>
  <c r="O10" i="7"/>
  <c r="N11" i="2"/>
  <c r="O40" i="3" s="1"/>
  <c r="P10" i="7"/>
  <c r="O11" i="2"/>
  <c r="O12" i="2" s="1"/>
  <c r="O14" i="5" s="1"/>
  <c r="E14" i="5" s="1"/>
  <c r="M10" i="7"/>
  <c r="L11" i="2"/>
  <c r="L12" i="2" s="1"/>
  <c r="L14" i="5" s="1"/>
  <c r="L13" i="2"/>
  <c r="O27" i="5" l="1"/>
  <c r="N16" i="2"/>
  <c r="O23" i="2"/>
  <c r="N27" i="5"/>
  <c r="N24" i="5"/>
  <c r="O16" i="2"/>
  <c r="O15" i="2"/>
  <c r="N22" i="2"/>
  <c r="O10" i="5"/>
  <c r="P40" i="3"/>
  <c r="N17" i="2"/>
  <c r="N23" i="2"/>
  <c r="O17" i="2"/>
  <c r="O14" i="2"/>
  <c r="N14" i="2"/>
  <c r="N15" i="2"/>
  <c r="M14" i="2"/>
  <c r="M13" i="2"/>
  <c r="M27" i="5"/>
  <c r="M22" i="2"/>
  <c r="L27" i="5"/>
  <c r="L10" i="5"/>
  <c r="N12" i="2"/>
  <c r="N14" i="5" s="1"/>
  <c r="M24" i="5"/>
  <c r="L15" i="2"/>
  <c r="L14" i="2"/>
  <c r="M40" i="3"/>
  <c r="N40" i="3"/>
  <c r="O24" i="5"/>
  <c r="O13" i="2"/>
  <c r="O22" i="2"/>
  <c r="N13" i="2"/>
  <c r="N10" i="5"/>
  <c r="M15" i="2"/>
  <c r="M10" i="5"/>
  <c r="L24" i="5"/>
  <c r="L16" i="2"/>
  <c r="L22" i="2"/>
  <c r="M12" i="2"/>
  <c r="M14" i="5" s="1"/>
  <c r="D14" i="5" s="1"/>
  <c r="M16" i="2"/>
  <c r="M23" i="2"/>
  <c r="L23" i="2"/>
  <c r="L17" i="2"/>
  <c r="E55" i="5" l="1"/>
  <c r="I57" i="5" l="1"/>
  <c r="I55" i="5"/>
  <c r="H55" i="5" s="1"/>
  <c r="I56" i="5"/>
  <c r="I58" i="5"/>
  <c r="I59" i="5"/>
  <c r="G63" i="5" l="1"/>
  <c r="H56" i="5"/>
  <c r="H57" i="5" s="1"/>
  <c r="H58" i="5" s="1"/>
  <c r="H59" i="5" s="1"/>
  <c r="G61" i="5" s="1"/>
  <c r="G65" i="5" s="1"/>
  <c r="G67" i="5" l="1"/>
  <c r="H71" i="5" s="1"/>
  <c r="H72" i="5" s="1"/>
  <c r="K1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M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Veces que se paga el Capital empleado</t>
        </r>
      </text>
    </comment>
    <comment ref="M3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Para no pagar mas por el foso que por el castillo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L2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Lo optimo es que sea superior a 2. Por debajo de 1 no es muy bueno</t>
        </r>
      </text>
    </comment>
    <comment ref="I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No se le resta el capex porque las empresas de ingeniería no tienen
porque no son intensivas en capital NORMALMENTE</t>
        </r>
      </text>
    </comment>
    <comment ref="C30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Downpayment/ Anticipos de proveedores</t>
        </r>
      </text>
    </comment>
    <comment ref="C33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 xml:space="preserve">Lo que vale la cartera de pedidos actual </t>
        </r>
      </text>
    </comment>
    <comment ref="C37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promedio de al menos 10 años</t>
        </r>
      </text>
    </comment>
  </commentList>
</comments>
</file>

<file path=xl/sharedStrings.xml><?xml version="1.0" encoding="utf-8"?>
<sst xmlns="http://schemas.openxmlformats.org/spreadsheetml/2006/main" count="211" uniqueCount="186">
  <si>
    <t>Consolidated Net Income</t>
  </si>
  <si>
    <t>EBITDA</t>
  </si>
  <si>
    <t>EBIT</t>
  </si>
  <si>
    <t>Price target  PER</t>
  </si>
  <si>
    <t>Price target  P/FCF</t>
  </si>
  <si>
    <t>Price target  EV/EBITDA</t>
  </si>
  <si>
    <t>Price target  EV/EBIT</t>
  </si>
  <si>
    <t>CAGR  by PER</t>
  </si>
  <si>
    <t>CAGR  by  P/FCF</t>
  </si>
  <si>
    <t>CAGR by EV/EBITDA</t>
  </si>
  <si>
    <t>CAGR  by EV/EBIT</t>
  </si>
  <si>
    <t>Market cap</t>
  </si>
  <si>
    <t>TAX RATE</t>
  </si>
  <si>
    <t>Stock options (si procede)</t>
  </si>
  <si>
    <t>3 YEARS</t>
  </si>
  <si>
    <t>5 YEARS</t>
  </si>
  <si>
    <t>TAX</t>
  </si>
  <si>
    <t>PER</t>
  </si>
  <si>
    <t>EV/EBITDA</t>
  </si>
  <si>
    <t>EV/EBIT</t>
  </si>
  <si>
    <t>P/FCF</t>
  </si>
  <si>
    <t>COGS</t>
  </si>
  <si>
    <t>Growth Rate:</t>
  </si>
  <si>
    <t>Perpetuidad</t>
  </si>
  <si>
    <t>Tasa de Descuento</t>
  </si>
  <si>
    <t>Acciones</t>
  </si>
  <si>
    <t>Debt Level:</t>
  </si>
  <si>
    <t>Year</t>
  </si>
  <si>
    <t>Flows</t>
  </si>
  <si>
    <t>Growth</t>
  </si>
  <si>
    <t>Initial Cash Flow:</t>
  </si>
  <si>
    <t>SUMA CF 5 AÑOS</t>
  </si>
  <si>
    <t>ACCIONES</t>
  </si>
  <si>
    <t>AÑO TERMINAL</t>
  </si>
  <si>
    <t>VALOR INTRÍNSECO</t>
  </si>
  <si>
    <t>TOTAL CF</t>
  </si>
  <si>
    <t>EXCESO CAJA</t>
  </si>
  <si>
    <t>VALOR TERMINAL</t>
  </si>
  <si>
    <t>FINANCIAL LEVERAGE</t>
  </si>
  <si>
    <t>INVENTARIO</t>
  </si>
  <si>
    <t>RECEIVABLES</t>
  </si>
  <si>
    <t>CAMBIOS EN WC</t>
  </si>
  <si>
    <t>REVENUE</t>
  </si>
  <si>
    <t>AMORT&amp;DEPR</t>
  </si>
  <si>
    <t>EBIT margin %</t>
  </si>
  <si>
    <t>MINORITY INTEREST</t>
  </si>
  <si>
    <t>NET INCOME</t>
  </si>
  <si>
    <t>EBITDA margin %</t>
  </si>
  <si>
    <t>PRETAX INCOME</t>
  </si>
  <si>
    <t>INTEREST INCOME (net)</t>
  </si>
  <si>
    <t>INCOME TAXES</t>
  </si>
  <si>
    <t>Tax rate</t>
  </si>
  <si>
    <t>Net margin %</t>
  </si>
  <si>
    <t>EPS</t>
  </si>
  <si>
    <t>Gross Margin %</t>
  </si>
  <si>
    <t>FULLY DILUTED SHARES</t>
  </si>
  <si>
    <t>PAYABLES (pr)</t>
  </si>
  <si>
    <t>Payable period</t>
  </si>
  <si>
    <t>receivable turnover</t>
  </si>
  <si>
    <t xml:space="preserve">Valuation  </t>
  </si>
  <si>
    <t>EBIT growth %</t>
  </si>
  <si>
    <t>Sales Growth %</t>
  </si>
  <si>
    <r>
      <rPr>
        <b/>
        <sz val="12"/>
        <color theme="1"/>
        <rFont val="Calibri"/>
        <family val="2"/>
        <scheme val="minor"/>
      </rPr>
      <t>ROE</t>
    </r>
    <r>
      <rPr>
        <sz val="12"/>
        <color theme="1"/>
        <rFont val="Calibri"/>
        <family val="2"/>
        <scheme val="minor"/>
      </rPr>
      <t xml:space="preserve"> ( net income / equity )</t>
    </r>
  </si>
  <si>
    <r>
      <rPr>
        <b/>
        <sz val="12"/>
        <color theme="1"/>
        <rFont val="Calibri"/>
        <family val="2"/>
        <scheme val="minor"/>
      </rPr>
      <t xml:space="preserve">ROCE </t>
    </r>
    <r>
      <rPr>
        <sz val="12"/>
        <color theme="1"/>
        <rFont val="Calibri"/>
        <family val="2"/>
        <scheme val="minor"/>
      </rPr>
      <t>(EBIT / Capital empleado)</t>
    </r>
  </si>
  <si>
    <r>
      <rPr>
        <b/>
        <sz val="12"/>
        <color theme="1"/>
        <rFont val="Calibri"/>
        <family val="2"/>
        <scheme val="minor"/>
      </rPr>
      <t>ROCE goodwill</t>
    </r>
    <r>
      <rPr>
        <sz val="12"/>
        <color theme="1"/>
        <rFont val="Calibri"/>
        <family val="2"/>
        <scheme val="minor"/>
      </rPr>
      <t>( EBIT / Capital empleado)</t>
    </r>
  </si>
  <si>
    <t>Rotación de inventario</t>
  </si>
  <si>
    <t>PROYECTAR MÚLTIPLOS</t>
  </si>
  <si>
    <t>Nº tiendas</t>
  </si>
  <si>
    <t>Ventas/nº tiendas</t>
  </si>
  <si>
    <t>Δ Ventas / nº tiendas</t>
  </si>
  <si>
    <t>Same Store Sales</t>
  </si>
  <si>
    <t>Cash and cash equivalents</t>
  </si>
  <si>
    <t>Equity</t>
  </si>
  <si>
    <t>GROWTH</t>
  </si>
  <si>
    <t>VALORAR POR EV/SALES</t>
  </si>
  <si>
    <t>Multiple EV/Sales</t>
  </si>
  <si>
    <t>Price Target EV/SALES</t>
  </si>
  <si>
    <t>EV/Sales</t>
  </si>
  <si>
    <t>EMPRESA</t>
  </si>
  <si>
    <t>RATIOS</t>
  </si>
  <si>
    <t>FCF ajustando WC</t>
  </si>
  <si>
    <t>CASH CONVERSION CYCLE</t>
  </si>
  <si>
    <t>ROE PROMEDIO</t>
  </si>
  <si>
    <t>ROCE PROMEDIO</t>
  </si>
  <si>
    <t>Margen EBIT Promedio</t>
  </si>
  <si>
    <t>Net Margin Promedio</t>
  </si>
  <si>
    <t>g</t>
  </si>
  <si>
    <t>Revenues</t>
  </si>
  <si>
    <t>Order Intake</t>
  </si>
  <si>
    <t>Backlog</t>
  </si>
  <si>
    <t>Amort&amp;Depr</t>
  </si>
  <si>
    <t>EBIT Margin%</t>
  </si>
  <si>
    <t>Interest Income</t>
  </si>
  <si>
    <t>Tax</t>
  </si>
  <si>
    <t>Net Income</t>
  </si>
  <si>
    <t>Fully Diluted Shares</t>
  </si>
  <si>
    <t>Assumed EBIT Margin</t>
  </si>
  <si>
    <t>EBIT generate</t>
  </si>
  <si>
    <t>tax assumed</t>
  </si>
  <si>
    <t>cash net generated</t>
  </si>
  <si>
    <t>net cash</t>
  </si>
  <si>
    <t>prepayments</t>
  </si>
  <si>
    <t>net cash - prepay</t>
  </si>
  <si>
    <t>% of share price</t>
  </si>
  <si>
    <t>DCF INVERSO</t>
  </si>
  <si>
    <t>Order Intake a perpetuidad</t>
  </si>
  <si>
    <t>WACC</t>
  </si>
  <si>
    <t>EBIT generated</t>
  </si>
  <si>
    <t>NOPAT</t>
  </si>
  <si>
    <t>net cash+backlog cash</t>
  </si>
  <si>
    <t>Market Cap Objetivo</t>
  </si>
  <si>
    <t>Per Share</t>
  </si>
  <si>
    <t>Discount to perpetuity</t>
  </si>
  <si>
    <t>precio por accion</t>
  </si>
  <si>
    <t>market cap</t>
  </si>
  <si>
    <t>Valor Residual</t>
  </si>
  <si>
    <t>PROMEDIO</t>
  </si>
  <si>
    <t>Tax rate %</t>
  </si>
  <si>
    <t>PRETAX</t>
  </si>
  <si>
    <t>debt</t>
  </si>
  <si>
    <t>Enterprise Value</t>
  </si>
  <si>
    <t>EUROPE</t>
  </si>
  <si>
    <t>LATAM</t>
  </si>
  <si>
    <t>MIDDLE EAST</t>
  </si>
  <si>
    <t>RoW</t>
  </si>
  <si>
    <t>%</t>
  </si>
  <si>
    <t>Spain</t>
  </si>
  <si>
    <t>BOOK TO BILL RATIO</t>
  </si>
  <si>
    <t>FORWARD ORDER BOOK</t>
  </si>
  <si>
    <t>Upside/Downside</t>
  </si>
  <si>
    <t>VENTAS POR REGION</t>
  </si>
  <si>
    <t>EMEA</t>
  </si>
  <si>
    <t>APAC</t>
  </si>
  <si>
    <t>NA</t>
  </si>
  <si>
    <t>MKT CAP/CAP INV.</t>
  </si>
  <si>
    <t>ROCE</t>
  </si>
  <si>
    <t>Net debt/FCF</t>
  </si>
  <si>
    <t>Activos Corrientes</t>
  </si>
  <si>
    <t>Pasivos Corrientes</t>
  </si>
  <si>
    <t>PP&amp;E</t>
  </si>
  <si>
    <t>FCF Yield</t>
  </si>
  <si>
    <t>change %</t>
  </si>
  <si>
    <t xml:space="preserve">Goodwill </t>
  </si>
  <si>
    <t>ROCE A LA INVERSIÓN</t>
  </si>
  <si>
    <t>ROIIC (5y)</t>
  </si>
  <si>
    <t>Deuda total (Long term+Short term)</t>
  </si>
  <si>
    <t>Capital empleado con goodwill</t>
  </si>
  <si>
    <t>Capital empleado sin goodwill</t>
  </si>
  <si>
    <t xml:space="preserve">Activos </t>
  </si>
  <si>
    <t>Inventario</t>
  </si>
  <si>
    <t>Receivable</t>
  </si>
  <si>
    <t xml:space="preserve">Pasivos   </t>
  </si>
  <si>
    <t>Retornos</t>
  </si>
  <si>
    <t>Payable</t>
  </si>
  <si>
    <t>Intereses Planes de Pensiones (si hay)</t>
  </si>
  <si>
    <t>Free cash flow</t>
  </si>
  <si>
    <t>Free cash flow por accion</t>
  </si>
  <si>
    <t>Deuda neta/Ebitda</t>
  </si>
  <si>
    <t xml:space="preserve"> P/FCF</t>
  </si>
  <si>
    <t xml:space="preserve"> EV/EBITDA</t>
  </si>
  <si>
    <t xml:space="preserve"> EV/EBIT</t>
  </si>
  <si>
    <t>CapEx de mantenimiento o depreciación</t>
  </si>
  <si>
    <t>CAPEX Mantenimiento / Sales</t>
  </si>
  <si>
    <t>CAPEX Mant+Inversión / Sales</t>
  </si>
  <si>
    <t xml:space="preserve">Coste Adquisiciones </t>
  </si>
  <si>
    <t>CaPex de Mantenimiento/ FCF</t>
  </si>
  <si>
    <t>CaPex Mant + Inversion / FCF</t>
  </si>
  <si>
    <t>Net debt/EBITDA</t>
  </si>
  <si>
    <t>FINANCIAL METRICS</t>
  </si>
  <si>
    <t>ESTIMACIONES</t>
  </si>
  <si>
    <t>EBIT MARGEN</t>
  </si>
  <si>
    <r>
      <t xml:space="preserve">SAME STORE SALES </t>
    </r>
    <r>
      <rPr>
        <b/>
        <i/>
        <sz val="12"/>
        <color theme="1"/>
        <rFont val="Calibri"/>
        <family val="2"/>
        <scheme val="minor"/>
      </rPr>
      <t>*(Aplicable a Retails)</t>
    </r>
  </si>
  <si>
    <t>PER DE LAS ADQUISICIONES</t>
  </si>
  <si>
    <t>METODO VALORACIÓN: DESCUENTO DE FLUJOS DE CAJA</t>
  </si>
  <si>
    <t>METODO VALORACIÓN: MULTIPLOS</t>
  </si>
  <si>
    <t>PRECIO ACCIÓN</t>
  </si>
  <si>
    <t xml:space="preserve">Liquidity ratio </t>
  </si>
  <si>
    <t>TRADE WORKING CAPITAL</t>
  </si>
  <si>
    <t>% EBITDA to FCF</t>
  </si>
  <si>
    <t>Free cash flow (- Adquisiciones)</t>
  </si>
  <si>
    <t>Free cash flow por accion (- Adquisiciones)</t>
  </si>
  <si>
    <t>Metricas en el momento de la compra</t>
  </si>
  <si>
    <t>FCF Margin</t>
  </si>
  <si>
    <t>% FCF Yield</t>
  </si>
  <si>
    <t>% FCF Growht</t>
  </si>
  <si>
    <t>Nombre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</si>
</sst>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&quot;$&quot;#,##0_);[Red]\(&quot;$&quot;#,##0\)"/>
    <numFmt numFmtId="167" formatCode="#,##0.000_);[Red]\(#,##0.000\)"/>
    <numFmt numFmtId="168" formatCode="#,##0;[Red]#,##0"/>
    <numFmt numFmtId="169" formatCode="#,##0.0_ ;[Red]\-#,##0.0\ "/>
    <numFmt numFmtId="170" formatCode="0.0_ ;[Red]\-0.0\ "/>
    <numFmt numFmtId="171" formatCode="0.00_ ;[Red]\-0.00\ "/>
    <numFmt numFmtId="172" formatCode="0.000"/>
    <numFmt numFmtId="173" formatCode="_-[$$-409]* #,##0.00_ ;_-[$$-409]* \-#,##0.00\ ;_-[$$-409]* &quot;-&quot;??_ ;_-@_ "/>
    <numFmt numFmtId="174" formatCode="0.0000_ ;[Red]\-0.0000\ "/>
    <numFmt numFmtId="175" formatCode="_-[$$-409]* #,##0.000_ ;_-[$$-409]* \-#,##0.000\ ;_-[$$-409]* &quot;-&quot;??_ ;_-@_ "/>
    <numFmt numFmtId="176" formatCode="#,##0.000;[Red]#,##0.000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17365C"/>
      <name val="Trebuchet MS"/>
      <family val="2"/>
    </font>
    <font>
      <b/>
      <sz val="14"/>
      <color theme="3" tint="0.59999389629810485"/>
      <name val="Trebuchet MS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17365C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17365C"/>
      <name val="Trebuchet MS"/>
      <family val="2"/>
    </font>
    <font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2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indexed="64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auto="1"/>
      </left>
      <right/>
      <top style="thin">
        <color theme="4" tint="0.79998168889431442"/>
      </top>
      <bottom/>
      <diagonal/>
    </border>
    <border>
      <left style="thick">
        <color indexed="64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thin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theme="4" tint="0.79998168889431442"/>
      </bottom>
      <diagonal/>
    </border>
    <border>
      <left style="thin">
        <color indexed="64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auto="1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 style="medium">
        <color indexed="64"/>
      </left>
      <right style="medium">
        <color indexed="64"/>
      </right>
      <top/>
      <bottom style="thin">
        <color theme="4" tint="0.79998168889431442"/>
      </bottom>
      <diagonal/>
    </border>
    <border>
      <left style="medium">
        <color auto="1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 style="medium">
        <color indexed="64"/>
      </right>
      <top style="medium">
        <color indexed="64"/>
      </top>
      <bottom style="thin">
        <color theme="4" tint="0.79998168889431442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4" tint="0.79998168889431442"/>
      </right>
      <top style="thin">
        <color theme="4" tint="0.79998168889431442"/>
      </top>
      <bottom style="medium">
        <color indexed="64"/>
      </bottom>
      <diagonal/>
    </border>
    <border>
      <left style="medium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4" tint="0.59996337778862885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auto="1"/>
      </left>
      <right style="medium">
        <color theme="4" tint="0.79998168889431442"/>
      </right>
      <top style="thin">
        <color indexed="64"/>
      </top>
      <bottom style="thin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 style="thin">
        <color indexed="64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4" tint="0.79998168889431442"/>
      </left>
      <right/>
      <top style="thin">
        <color indexed="64"/>
      </top>
      <bottom/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4" tint="0.59996337778862885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medium">
        <color indexed="64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/>
      <diagonal/>
    </border>
    <border>
      <left style="medium">
        <color indexed="64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medium">
        <color indexed="64"/>
      </right>
      <top/>
      <bottom/>
      <diagonal/>
    </border>
    <border>
      <left style="thin">
        <color theme="4" tint="0.59996337778862885"/>
      </left>
      <right style="medium">
        <color indexed="64"/>
      </right>
      <top style="thin">
        <color theme="4" tint="0.59996337778862885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theme="1" tint="0.499984740745262"/>
      </top>
      <bottom/>
      <diagonal/>
    </border>
    <border>
      <left/>
      <right style="medium">
        <color indexed="64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/>
      <diagonal/>
    </border>
    <border>
      <left style="medium">
        <color auto="1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theme="4" tint="0.79998168889431442"/>
      </right>
      <top style="thin">
        <color indexed="64"/>
      </top>
      <bottom style="medium">
        <color indexed="64"/>
      </bottom>
      <diagonal/>
    </border>
    <border>
      <left style="thin">
        <color theme="4" tint="0.79998168889431442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706">
    <xf numFmtId="0" fontId="0" fillId="0" borderId="0" xfId="0"/>
    <xf numFmtId="0" fontId="0" fillId="4" borderId="0" xfId="0" applyFill="1"/>
    <xf numFmtId="0" fontId="0" fillId="4" borderId="0" xfId="0" applyFill="1" applyBorder="1"/>
    <xf numFmtId="0" fontId="0" fillId="4" borderId="0" xfId="0" applyFill="1" applyBorder="1" applyAlignment="1">
      <alignment horizontal="center" wrapText="1"/>
    </xf>
    <xf numFmtId="0" fontId="12" fillId="4" borderId="0" xfId="0" applyFont="1" applyFill="1" applyBorder="1"/>
    <xf numFmtId="0" fontId="0" fillId="4" borderId="0" xfId="0" applyFill="1" applyAlignment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/>
    <xf numFmtId="0" fontId="14" fillId="4" borderId="0" xfId="0" applyFont="1" applyFill="1" applyBorder="1"/>
    <xf numFmtId="0" fontId="14" fillId="0" borderId="0" xfId="0" applyFont="1"/>
    <xf numFmtId="9" fontId="0" fillId="4" borderId="0" xfId="0" applyNumberFormat="1" applyFill="1" applyAlignment="1">
      <alignment horizontal="left"/>
    </xf>
    <xf numFmtId="0" fontId="0" fillId="0" borderId="0" xfId="0" applyFont="1"/>
    <xf numFmtId="49" fontId="20" fillId="0" borderId="0" xfId="0" applyNumberFormat="1" applyFont="1" applyAlignment="1">
      <alignment horizontal="center"/>
    </xf>
    <xf numFmtId="0" fontId="20" fillId="0" borderId="0" xfId="0" applyFont="1" applyBorder="1" applyAlignment="1">
      <alignment horizontal="center"/>
    </xf>
    <xf numFmtId="38" fontId="20" fillId="0" borderId="0" xfId="0" applyNumberFormat="1" applyFont="1" applyBorder="1" applyAlignment="1">
      <alignment horizontal="center"/>
    </xf>
    <xf numFmtId="9" fontId="20" fillId="0" borderId="0" xfId="0" applyNumberFormat="1" applyFont="1" applyBorder="1" applyAlignment="1">
      <alignment horizontal="center"/>
    </xf>
    <xf numFmtId="166" fontId="20" fillId="0" borderId="0" xfId="0" applyNumberFormat="1" applyFont="1" applyBorder="1" applyAlignment="1">
      <alignment horizontal="center"/>
    </xf>
    <xf numFmtId="167" fontId="20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9" fontId="0" fillId="0" borderId="0" xfId="0" applyNumberFormat="1" applyFont="1" applyBorder="1" applyAlignment="1">
      <alignment horizontal="center"/>
    </xf>
    <xf numFmtId="168" fontId="20" fillId="0" borderId="2" xfId="0" applyNumberFormat="1" applyFont="1" applyBorder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/>
    <xf numFmtId="38" fontId="20" fillId="6" borderId="0" xfId="0" applyNumberFormat="1" applyFont="1" applyFill="1" applyBorder="1" applyAlignment="1">
      <alignment horizontal="center"/>
    </xf>
    <xf numFmtId="0" fontId="20" fillId="6" borderId="3" xfId="0" applyFont="1" applyFill="1" applyBorder="1" applyAlignment="1">
      <alignment horizontal="center"/>
    </xf>
    <xf numFmtId="9" fontId="20" fillId="6" borderId="9" xfId="0" applyNumberFormat="1" applyFont="1" applyFill="1" applyBorder="1" applyAlignment="1">
      <alignment horizontal="center"/>
    </xf>
    <xf numFmtId="0" fontId="20" fillId="6" borderId="13" xfId="0" applyFont="1" applyFill="1" applyBorder="1" applyAlignment="1">
      <alignment horizontal="center"/>
    </xf>
    <xf numFmtId="38" fontId="20" fillId="6" borderId="4" xfId="0" applyNumberFormat="1" applyFont="1" applyFill="1" applyBorder="1" applyAlignment="1">
      <alignment horizontal="center"/>
    </xf>
    <xf numFmtId="9" fontId="20" fillId="6" borderId="14" xfId="0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ont="1"/>
    <xf numFmtId="38" fontId="0" fillId="0" borderId="1" xfId="0" applyNumberFormat="1" applyFont="1" applyBorder="1" applyAlignment="1">
      <alignment horizontal="center"/>
    </xf>
    <xf numFmtId="0" fontId="0" fillId="6" borderId="11" xfId="0" applyFill="1" applyBorder="1"/>
    <xf numFmtId="2" fontId="20" fillId="6" borderId="12" xfId="0" applyNumberFormat="1" applyFont="1" applyFill="1" applyBorder="1" applyAlignment="1">
      <alignment horizontal="center"/>
    </xf>
    <xf numFmtId="2" fontId="20" fillId="6" borderId="0" xfId="0" applyNumberFormat="1" applyFont="1" applyFill="1" applyBorder="1"/>
    <xf numFmtId="2" fontId="20" fillId="6" borderId="9" xfId="0" applyNumberFormat="1" applyFont="1" applyFill="1" applyBorder="1"/>
    <xf numFmtId="2" fontId="20" fillId="6" borderId="9" xfId="0" applyNumberFormat="1" applyFont="1" applyFill="1" applyBorder="1" applyAlignment="1">
      <alignment horizontal="center"/>
    </xf>
    <xf numFmtId="2" fontId="20" fillId="6" borderId="4" xfId="0" applyNumberFormat="1" applyFont="1" applyFill="1" applyBorder="1"/>
    <xf numFmtId="2" fontId="20" fillId="6" borderId="14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 applyProtection="1">
      <alignment vertical="center"/>
    </xf>
    <xf numFmtId="0" fontId="14" fillId="0" borderId="3" xfId="0" applyFont="1" applyBorder="1"/>
    <xf numFmtId="2" fontId="26" fillId="0" borderId="0" xfId="0" applyNumberFormat="1" applyFont="1" applyFill="1" applyBorder="1" applyAlignment="1" applyProtection="1">
      <alignment vertical="center"/>
    </xf>
    <xf numFmtId="0" fontId="14" fillId="4" borderId="0" xfId="0" applyFont="1" applyFill="1" applyBorder="1" applyAlignment="1">
      <alignment horizontal="center" wrapText="1"/>
    </xf>
    <xf numFmtId="164" fontId="14" fillId="4" borderId="0" xfId="0" applyNumberFormat="1" applyFont="1" applyFill="1" applyBorder="1"/>
    <xf numFmtId="0" fontId="14" fillId="0" borderId="3" xfId="0" applyFont="1" applyBorder="1" applyProtection="1"/>
    <xf numFmtId="0" fontId="14" fillId="0" borderId="0" xfId="0" applyFont="1" applyBorder="1" applyProtection="1"/>
    <xf numFmtId="0" fontId="12" fillId="0" borderId="13" xfId="0" applyFont="1" applyBorder="1" applyProtection="1"/>
    <xf numFmtId="0" fontId="0" fillId="0" borderId="0" xfId="0" applyProtection="1"/>
    <xf numFmtId="0" fontId="12" fillId="4" borderId="10" xfId="0" applyFont="1" applyFill="1" applyBorder="1" applyAlignment="1" applyProtection="1">
      <alignment horizontal="left" vertical="center"/>
    </xf>
    <xf numFmtId="1" fontId="12" fillId="4" borderId="10" xfId="0" applyNumberFormat="1" applyFont="1" applyFill="1" applyBorder="1" applyAlignment="1" applyProtection="1">
      <alignment horizontal="center" vertical="center" wrapText="1"/>
    </xf>
    <xf numFmtId="1" fontId="12" fillId="4" borderId="11" xfId="0" applyNumberFormat="1" applyFont="1" applyFill="1" applyBorder="1" applyAlignment="1" applyProtection="1">
      <alignment horizontal="center" vertical="center" wrapText="1"/>
    </xf>
    <xf numFmtId="164" fontId="14" fillId="4" borderId="5" xfId="0" applyNumberFormat="1" applyFont="1" applyFill="1" applyBorder="1" applyAlignment="1" applyProtection="1">
      <alignment horizontal="center" vertical="center" wrapText="1"/>
    </xf>
    <xf numFmtId="164" fontId="14" fillId="4" borderId="0" xfId="0" applyNumberFormat="1" applyFont="1" applyFill="1" applyBorder="1" applyAlignment="1" applyProtection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center" vertical="center" wrapText="1"/>
    </xf>
    <xf numFmtId="0" fontId="12" fillId="4" borderId="0" xfId="0" applyFont="1" applyFill="1" applyProtection="1"/>
    <xf numFmtId="0" fontId="12" fillId="0" borderId="19" xfId="0" applyFont="1" applyBorder="1" applyAlignment="1" applyProtection="1">
      <alignment vertical="center"/>
    </xf>
    <xf numFmtId="0" fontId="14" fillId="0" borderId="0" xfId="0" applyFont="1" applyProtection="1"/>
    <xf numFmtId="0" fontId="14" fillId="4" borderId="0" xfId="0" applyFont="1" applyFill="1" applyBorder="1" applyAlignment="1" applyProtection="1">
      <alignment horizont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Protection="1"/>
    <xf numFmtId="0" fontId="27" fillId="4" borderId="0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/>
    </xf>
    <xf numFmtId="0" fontId="18" fillId="2" borderId="11" xfId="0" applyFont="1" applyFill="1" applyBorder="1" applyAlignment="1" applyProtection="1">
      <alignment horizontal="center"/>
    </xf>
    <xf numFmtId="0" fontId="14" fillId="4" borderId="0" xfId="0" applyFont="1" applyFill="1" applyBorder="1" applyProtection="1"/>
    <xf numFmtId="2" fontId="17" fillId="0" borderId="0" xfId="0" applyNumberFormat="1" applyFont="1" applyFill="1" applyBorder="1" applyAlignment="1" applyProtection="1">
      <alignment vertical="center"/>
    </xf>
    <xf numFmtId="0" fontId="0" fillId="4" borderId="0" xfId="0" applyFill="1" applyBorder="1" applyAlignment="1" applyProtection="1">
      <alignment horizontal="center" wrapText="1"/>
    </xf>
    <xf numFmtId="0" fontId="12" fillId="4" borderId="0" xfId="0" applyFont="1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27" fillId="4" borderId="0" xfId="0" applyFont="1" applyFill="1" applyProtection="1">
      <protection locked="0"/>
    </xf>
    <xf numFmtId="0" fontId="12" fillId="0" borderId="0" xfId="0" applyFont="1" applyProtection="1"/>
    <xf numFmtId="9" fontId="0" fillId="0" borderId="1" xfId="0" applyNumberFormat="1" applyFont="1" applyBorder="1" applyAlignment="1" applyProtection="1">
      <alignment horizontal="center"/>
      <protection locked="0"/>
    </xf>
    <xf numFmtId="2" fontId="14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23" fillId="0" borderId="0" xfId="0" applyFont="1" applyProtection="1"/>
    <xf numFmtId="0" fontId="0" fillId="0" borderId="24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170" fontId="0" fillId="0" borderId="19" xfId="0" applyNumberFormat="1" applyBorder="1" applyProtection="1"/>
    <xf numFmtId="170" fontId="0" fillId="0" borderId="0" xfId="0" applyNumberFormat="1" applyBorder="1" applyProtection="1"/>
    <xf numFmtId="170" fontId="0" fillId="0" borderId="6" xfId="0" applyNumberFormat="1" applyBorder="1" applyProtection="1"/>
    <xf numFmtId="170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Border="1"/>
    <xf numFmtId="0" fontId="14" fillId="0" borderId="13" xfId="0" applyFont="1" applyBorder="1"/>
    <xf numFmtId="0" fontId="14" fillId="0" borderId="0" xfId="0" applyFont="1" applyBorder="1"/>
    <xf numFmtId="0" fontId="14" fillId="0" borderId="56" xfId="0" applyFont="1" applyBorder="1"/>
    <xf numFmtId="0" fontId="14" fillId="0" borderId="57" xfId="0" applyFont="1" applyBorder="1"/>
    <xf numFmtId="0" fontId="14" fillId="0" borderId="2" xfId="0" applyFont="1" applyBorder="1"/>
    <xf numFmtId="0" fontId="18" fillId="3" borderId="11" xfId="0" applyFont="1" applyFill="1" applyBorder="1" applyAlignment="1" applyProtection="1">
      <alignment horizontal="center"/>
    </xf>
    <xf numFmtId="0" fontId="14" fillId="0" borderId="9" xfId="0" applyFont="1" applyBorder="1"/>
    <xf numFmtId="2" fontId="12" fillId="11" borderId="58" xfId="0" applyNumberFormat="1" applyFont="1" applyFill="1" applyBorder="1" applyProtection="1">
      <protection locked="0"/>
    </xf>
    <xf numFmtId="2" fontId="12" fillId="11" borderId="59" xfId="0" applyNumberFormat="1" applyFont="1" applyFill="1" applyBorder="1" applyProtection="1">
      <protection locked="0"/>
    </xf>
    <xf numFmtId="2" fontId="12" fillId="7" borderId="59" xfId="0" applyNumberFormat="1" applyFont="1" applyFill="1" applyBorder="1" applyProtection="1">
      <protection locked="0"/>
    </xf>
    <xf numFmtId="0" fontId="14" fillId="7" borderId="1" xfId="0" applyFont="1" applyFill="1" applyBorder="1" applyProtection="1">
      <protection locked="0"/>
    </xf>
    <xf numFmtId="2" fontId="14" fillId="0" borderId="0" xfId="0" applyNumberFormat="1" applyFont="1" applyBorder="1"/>
    <xf numFmtId="2" fontId="14" fillId="0" borderId="3" xfId="0" applyNumberFormat="1" applyFont="1" applyBorder="1"/>
    <xf numFmtId="0" fontId="12" fillId="0" borderId="10" xfId="0" applyFont="1" applyBorder="1"/>
    <xf numFmtId="0" fontId="18" fillId="2" borderId="56" xfId="0" applyFont="1" applyFill="1" applyBorder="1" applyAlignment="1" applyProtection="1">
      <alignment horizontal="center"/>
    </xf>
    <xf numFmtId="164" fontId="14" fillId="0" borderId="57" xfId="0" applyNumberFormat="1" applyFont="1" applyBorder="1"/>
    <xf numFmtId="0" fontId="12" fillId="4" borderId="1" xfId="0" applyFont="1" applyFill="1" applyBorder="1" applyAlignment="1">
      <alignment vertical="center"/>
    </xf>
    <xf numFmtId="0" fontId="0" fillId="0" borderId="16" xfId="0" applyBorder="1"/>
    <xf numFmtId="0" fontId="0" fillId="0" borderId="17" xfId="0" applyBorder="1"/>
    <xf numFmtId="2" fontId="18" fillId="0" borderId="10" xfId="0" applyNumberFormat="1" applyFont="1" applyFill="1" applyBorder="1" applyAlignment="1" applyProtection="1">
      <alignment vertical="center"/>
    </xf>
    <xf numFmtId="0" fontId="0" fillId="0" borderId="0" xfId="0"/>
    <xf numFmtId="0" fontId="12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vertical="center"/>
    </xf>
    <xf numFmtId="0" fontId="14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vertical="center"/>
    </xf>
    <xf numFmtId="0" fontId="32" fillId="4" borderId="0" xfId="0" applyFont="1" applyFill="1" applyProtection="1">
      <protection locked="0"/>
    </xf>
    <xf numFmtId="2" fontId="12" fillId="2" borderId="1" xfId="1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18" fillId="2" borderId="12" xfId="0" applyFont="1" applyFill="1" applyBorder="1" applyAlignment="1" applyProtection="1">
      <alignment horizontal="center"/>
    </xf>
    <xf numFmtId="0" fontId="14" fillId="0" borderId="1" xfId="0" applyFont="1" applyBorder="1"/>
    <xf numFmtId="2" fontId="14" fillId="0" borderId="15" xfId="0" applyNumberFormat="1" applyFont="1" applyBorder="1"/>
    <xf numFmtId="2" fontId="14" fillId="0" borderId="16" xfId="0" applyNumberFormat="1" applyFont="1" applyBorder="1"/>
    <xf numFmtId="2" fontId="14" fillId="0" borderId="17" xfId="0" applyNumberFormat="1" applyFont="1" applyBorder="1"/>
    <xf numFmtId="0" fontId="12" fillId="11" borderId="63" xfId="0" applyFont="1" applyFill="1" applyBorder="1" applyProtection="1"/>
    <xf numFmtId="0" fontId="12" fillId="11" borderId="56" xfId="0" applyFont="1" applyFill="1" applyBorder="1" applyProtection="1"/>
    <xf numFmtId="0" fontId="12" fillId="0" borderId="57" xfId="0" applyFont="1" applyBorder="1"/>
    <xf numFmtId="2" fontId="12" fillId="7" borderId="64" xfId="0" applyNumberFormat="1" applyFont="1" applyFill="1" applyBorder="1" applyProtection="1">
      <protection locked="0"/>
    </xf>
    <xf numFmtId="2" fontId="14" fillId="0" borderId="13" xfId="0" applyNumberFormat="1" applyFont="1" applyBorder="1" applyProtection="1">
      <protection locked="0"/>
    </xf>
    <xf numFmtId="2" fontId="14" fillId="0" borderId="14" xfId="0" applyNumberFormat="1" applyFont="1" applyBorder="1" applyProtection="1">
      <protection locked="0"/>
    </xf>
    <xf numFmtId="10" fontId="14" fillId="0" borderId="1" xfId="0" applyNumberFormat="1" applyFont="1" applyBorder="1"/>
    <xf numFmtId="0" fontId="0" fillId="0" borderId="0" xfId="0"/>
    <xf numFmtId="0" fontId="12" fillId="0" borderId="25" xfId="0" applyFont="1" applyBorder="1" applyProtection="1"/>
    <xf numFmtId="0" fontId="12" fillId="0" borderId="18" xfId="0" applyFont="1" applyBorder="1" applyProtection="1"/>
    <xf numFmtId="170" fontId="14" fillId="0" borderId="5" xfId="0" applyNumberFormat="1" applyFont="1" applyBorder="1" applyProtection="1"/>
    <xf numFmtId="170" fontId="14" fillId="0" borderId="7" xfId="0" applyNumberFormat="1" applyFont="1" applyBorder="1" applyProtection="1"/>
    <xf numFmtId="170" fontId="14" fillId="0" borderId="8" xfId="0" applyNumberFormat="1" applyFont="1" applyBorder="1" applyAlignment="1" applyProtection="1">
      <alignment horizontal="center" vertical="center"/>
    </xf>
    <xf numFmtId="170" fontId="14" fillId="0" borderId="0" xfId="0" applyNumberFormat="1" applyFont="1" applyBorder="1" applyAlignment="1" applyProtection="1">
      <alignment horizontal="center" vertical="center"/>
    </xf>
    <xf numFmtId="170" fontId="14" fillId="0" borderId="6" xfId="0" applyNumberFormat="1" applyFont="1" applyBorder="1" applyAlignment="1" applyProtection="1">
      <alignment horizontal="center" vertical="center"/>
    </xf>
    <xf numFmtId="10" fontId="14" fillId="0" borderId="0" xfId="0" applyNumberFormat="1" applyFont="1" applyProtection="1"/>
    <xf numFmtId="10" fontId="27" fillId="4" borderId="0" xfId="0" applyNumberFormat="1" applyFont="1" applyFill="1" applyProtection="1"/>
    <xf numFmtId="165" fontId="32" fillId="0" borderId="0" xfId="0" applyNumberFormat="1" applyFont="1" applyProtection="1"/>
    <xf numFmtId="0" fontId="32" fillId="0" borderId="0" xfId="0" applyFont="1" applyProtection="1"/>
    <xf numFmtId="0" fontId="0" fillId="0" borderId="11" xfId="0" applyBorder="1"/>
    <xf numFmtId="0" fontId="0" fillId="0" borderId="56" xfId="0" applyBorder="1"/>
    <xf numFmtId="0" fontId="0" fillId="0" borderId="57" xfId="0" applyBorder="1"/>
    <xf numFmtId="0" fontId="0" fillId="0" borderId="2" xfId="0" applyBorder="1" applyAlignment="1">
      <alignment horizontal="right"/>
    </xf>
    <xf numFmtId="0" fontId="12" fillId="11" borderId="15" xfId="0" applyFont="1" applyFill="1" applyBorder="1" applyProtection="1"/>
    <xf numFmtId="2" fontId="12" fillId="11" borderId="66" xfId="0" applyNumberFormat="1" applyFont="1" applyFill="1" applyBorder="1" applyProtection="1">
      <protection locked="0"/>
    </xf>
    <xf numFmtId="2" fontId="12" fillId="11" borderId="67" xfId="0" applyNumberFormat="1" applyFont="1" applyFill="1" applyBorder="1" applyProtection="1">
      <protection locked="0"/>
    </xf>
    <xf numFmtId="2" fontId="12" fillId="7" borderId="67" xfId="0" applyNumberFormat="1" applyFont="1" applyFill="1" applyBorder="1" applyProtection="1">
      <protection locked="0"/>
    </xf>
    <xf numFmtId="2" fontId="12" fillId="7" borderId="68" xfId="0" applyNumberFormat="1" applyFont="1" applyFill="1" applyBorder="1" applyProtection="1">
      <protection locked="0"/>
    </xf>
    <xf numFmtId="2" fontId="12" fillId="11" borderId="39" xfId="0" applyNumberFormat="1" applyFont="1" applyFill="1" applyBorder="1" applyProtection="1">
      <protection locked="0"/>
    </xf>
    <xf numFmtId="2" fontId="12" fillId="11" borderId="40" xfId="0" applyNumberFormat="1" applyFont="1" applyFill="1" applyBorder="1" applyProtection="1">
      <protection locked="0"/>
    </xf>
    <xf numFmtId="2" fontId="12" fillId="7" borderId="40" xfId="0" applyNumberFormat="1" applyFont="1" applyFill="1" applyBorder="1" applyProtection="1">
      <protection locked="0"/>
    </xf>
    <xf numFmtId="0" fontId="12" fillId="0" borderId="57" xfId="0" applyFont="1" applyFill="1" applyBorder="1"/>
    <xf numFmtId="2" fontId="12" fillId="7" borderId="69" xfId="0" applyNumberFormat="1" applyFont="1" applyFill="1" applyBorder="1" applyProtection="1">
      <protection locked="0"/>
    </xf>
    <xf numFmtId="2" fontId="0" fillId="0" borderId="9" xfId="0" applyNumberFormat="1" applyBorder="1"/>
    <xf numFmtId="0" fontId="14" fillId="0" borderId="57" xfId="0" applyFont="1" applyFill="1" applyBorder="1" applyAlignment="1">
      <alignment horizontal="right"/>
    </xf>
    <xf numFmtId="2" fontId="14" fillId="0" borderId="1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0" fontId="34" fillId="0" borderId="0" xfId="0" applyFont="1"/>
    <xf numFmtId="164" fontId="14" fillId="9" borderId="1" xfId="0" applyNumberFormat="1" applyFont="1" applyFill="1" applyBorder="1"/>
    <xf numFmtId="0" fontId="12" fillId="0" borderId="3" xfId="0" applyFont="1" applyBorder="1"/>
    <xf numFmtId="0" fontId="12" fillId="0" borderId="13" xfId="0" applyFont="1" applyBorder="1"/>
    <xf numFmtId="0" fontId="14" fillId="6" borderId="0" xfId="0" applyFont="1" applyFill="1" applyAlignment="1">
      <alignment horizontal="center"/>
    </xf>
    <xf numFmtId="0" fontId="14" fillId="13" borderId="56" xfId="0" applyFont="1" applyFill="1" applyBorder="1" applyProtection="1"/>
    <xf numFmtId="0" fontId="14" fillId="13" borderId="57" xfId="0" applyFont="1" applyFill="1" applyBorder="1" applyProtection="1"/>
    <xf numFmtId="0" fontId="14" fillId="13" borderId="2" xfId="0" applyFont="1" applyFill="1" applyBorder="1" applyProtection="1"/>
    <xf numFmtId="1" fontId="14" fillId="4" borderId="1" xfId="0" applyNumberFormat="1" applyFont="1" applyFill="1" applyBorder="1"/>
    <xf numFmtId="0" fontId="32" fillId="0" borderId="0" xfId="0" applyFont="1"/>
    <xf numFmtId="0" fontId="12" fillId="11" borderId="71" xfId="0" applyFont="1" applyFill="1" applyBorder="1" applyProtection="1"/>
    <xf numFmtId="0" fontId="0" fillId="0" borderId="57" xfId="0" applyBorder="1" applyAlignment="1">
      <alignment horizontal="right"/>
    </xf>
    <xf numFmtId="0" fontId="12" fillId="0" borderId="1" xfId="0" applyFont="1" applyFill="1" applyBorder="1"/>
    <xf numFmtId="9" fontId="14" fillId="13" borderId="40" xfId="0" applyNumberFormat="1" applyFont="1" applyFill="1" applyBorder="1" applyProtection="1">
      <protection locked="0"/>
    </xf>
    <xf numFmtId="9" fontId="14" fillId="14" borderId="40" xfId="0" applyNumberFormat="1" applyFont="1" applyFill="1" applyBorder="1" applyProtection="1">
      <protection locked="0"/>
    </xf>
    <xf numFmtId="9" fontId="14" fillId="14" borderId="69" xfId="0" applyNumberFormat="1" applyFont="1" applyFill="1" applyBorder="1" applyProtection="1">
      <protection locked="0"/>
    </xf>
    <xf numFmtId="2" fontId="0" fillId="0" borderId="12" xfId="0" applyNumberFormat="1" applyBorder="1"/>
    <xf numFmtId="2" fontId="0" fillId="0" borderId="14" xfId="0" applyNumberFormat="1" applyBorder="1"/>
    <xf numFmtId="0" fontId="0" fillId="0" borderId="12" xfId="0" applyFont="1" applyBorder="1"/>
    <xf numFmtId="2" fontId="0" fillId="0" borderId="9" xfId="0" applyNumberFormat="1" applyFont="1" applyBorder="1"/>
    <xf numFmtId="2" fontId="0" fillId="0" borderId="14" xfId="0" applyNumberFormat="1" applyFont="1" applyBorder="1"/>
    <xf numFmtId="9" fontId="14" fillId="13" borderId="39" xfId="0" applyNumberFormat="1" applyFont="1" applyFill="1" applyBorder="1" applyProtection="1">
      <protection locked="0"/>
    </xf>
    <xf numFmtId="9" fontId="0" fillId="0" borderId="3" xfId="0" applyNumberFormat="1" applyBorder="1"/>
    <xf numFmtId="9" fontId="0" fillId="0" borderId="0" xfId="0" applyNumberFormat="1" applyBorder="1"/>
    <xf numFmtId="165" fontId="14" fillId="0" borderId="3" xfId="0" applyNumberFormat="1" applyFont="1" applyBorder="1"/>
    <xf numFmtId="165" fontId="14" fillId="0" borderId="0" xfId="0" applyNumberFormat="1" applyFont="1" applyBorder="1"/>
    <xf numFmtId="165" fontId="14" fillId="0" borderId="15" xfId="0" applyNumberFormat="1" applyFont="1" applyBorder="1"/>
    <xf numFmtId="0" fontId="14" fillId="0" borderId="15" xfId="0" applyFont="1" applyBorder="1" applyAlignment="1">
      <alignment horizontal="right"/>
    </xf>
    <xf numFmtId="2" fontId="12" fillId="11" borderId="72" xfId="0" applyNumberFormat="1" applyFont="1" applyFill="1" applyBorder="1" applyProtection="1">
      <protection locked="0"/>
    </xf>
    <xf numFmtId="2" fontId="12" fillId="11" borderId="73" xfId="0" applyNumberFormat="1" applyFont="1" applyFill="1" applyBorder="1" applyProtection="1">
      <protection locked="0"/>
    </xf>
    <xf numFmtId="2" fontId="12" fillId="7" borderId="73" xfId="0" applyNumberFormat="1" applyFont="1" applyFill="1" applyBorder="1" applyProtection="1">
      <protection locked="0"/>
    </xf>
    <xf numFmtId="171" fontId="12" fillId="11" borderId="61" xfId="0" applyNumberFormat="1" applyFont="1" applyFill="1" applyBorder="1" applyProtection="1">
      <protection locked="0"/>
    </xf>
    <xf numFmtId="171" fontId="12" fillId="11" borderId="62" xfId="0" applyNumberFormat="1" applyFont="1" applyFill="1" applyBorder="1" applyProtection="1">
      <protection locked="0"/>
    </xf>
    <xf numFmtId="171" fontId="12" fillId="7" borderId="62" xfId="0" applyNumberFormat="1" applyFont="1" applyFill="1" applyBorder="1" applyProtection="1">
      <protection locked="0"/>
    </xf>
    <xf numFmtId="165" fontId="14" fillId="0" borderId="16" xfId="0" applyNumberFormat="1" applyFont="1" applyBorder="1"/>
    <xf numFmtId="0" fontId="8" fillId="0" borderId="57" xfId="0" applyFont="1" applyBorder="1"/>
    <xf numFmtId="2" fontId="12" fillId="4" borderId="17" xfId="0" applyNumberFormat="1" applyFont="1" applyFill="1" applyBorder="1"/>
    <xf numFmtId="10" fontId="12" fillId="0" borderId="17" xfId="0" applyNumberFormat="1" applyFont="1" applyBorder="1"/>
    <xf numFmtId="2" fontId="12" fillId="7" borderId="74" xfId="0" applyNumberFormat="1" applyFont="1" applyFill="1" applyBorder="1" applyProtection="1">
      <protection locked="0"/>
    </xf>
    <xf numFmtId="171" fontId="12" fillId="7" borderId="70" xfId="0" applyNumberFormat="1" applyFont="1" applyFill="1" applyBorder="1" applyProtection="1">
      <protection locked="0"/>
    </xf>
    <xf numFmtId="0" fontId="14" fillId="0" borderId="12" xfId="0" applyFont="1" applyBorder="1"/>
    <xf numFmtId="2" fontId="14" fillId="4" borderId="3" xfId="0" applyNumberFormat="1" applyFont="1" applyFill="1" applyBorder="1" applyProtection="1">
      <protection locked="0"/>
    </xf>
    <xf numFmtId="2" fontId="14" fillId="4" borderId="9" xfId="0" applyNumberFormat="1" applyFont="1" applyFill="1" applyBorder="1" applyProtection="1">
      <protection locked="0"/>
    </xf>
    <xf numFmtId="1" fontId="14" fillId="0" borderId="1" xfId="0" applyNumberFormat="1" applyFont="1" applyBorder="1"/>
    <xf numFmtId="10" fontId="12" fillId="0" borderId="1" xfId="0" applyNumberFormat="1" applyFont="1" applyBorder="1"/>
    <xf numFmtId="10" fontId="12" fillId="8" borderId="17" xfId="0" applyNumberFormat="1" applyFont="1" applyFill="1" applyBorder="1" applyProtection="1">
      <protection locked="0"/>
    </xf>
    <xf numFmtId="10" fontId="12" fillId="7" borderId="17" xfId="0" applyNumberFormat="1" applyFont="1" applyFill="1" applyBorder="1" applyProtection="1">
      <protection locked="0"/>
    </xf>
    <xf numFmtId="165" fontId="12" fillId="7" borderId="1" xfId="0" applyNumberFormat="1" applyFont="1" applyFill="1" applyBorder="1" applyProtection="1">
      <protection locked="0"/>
    </xf>
    <xf numFmtId="0" fontId="14" fillId="8" borderId="56" xfId="0" applyFont="1" applyFill="1" applyBorder="1" applyProtection="1">
      <protection locked="0"/>
    </xf>
    <xf numFmtId="10" fontId="14" fillId="8" borderId="57" xfId="0" applyNumberFormat="1" applyFont="1" applyFill="1" applyBorder="1" applyProtection="1">
      <protection locked="0"/>
    </xf>
    <xf numFmtId="9" fontId="14" fillId="8" borderId="57" xfId="0" applyNumberFormat="1" applyFont="1" applyFill="1" applyBorder="1" applyProtection="1">
      <protection locked="0"/>
    </xf>
    <xf numFmtId="0" fontId="14" fillId="8" borderId="57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9" fontId="14" fillId="12" borderId="56" xfId="0" applyNumberFormat="1" applyFont="1" applyFill="1" applyBorder="1" applyProtection="1">
      <protection locked="0"/>
    </xf>
    <xf numFmtId="9" fontId="14" fillId="12" borderId="2" xfId="0" applyNumberFormat="1" applyFont="1" applyFill="1" applyBorder="1" applyProtection="1">
      <protection locked="0"/>
    </xf>
    <xf numFmtId="0" fontId="12" fillId="0" borderId="9" xfId="0" applyFont="1" applyBorder="1"/>
    <xf numFmtId="0" fontId="0" fillId="0" borderId="9" xfId="0" applyBorder="1"/>
    <xf numFmtId="0" fontId="8" fillId="0" borderId="9" xfId="0" applyFont="1" applyBorder="1"/>
    <xf numFmtId="0" fontId="14" fillId="0" borderId="14" xfId="0" applyFont="1" applyBorder="1"/>
    <xf numFmtId="2" fontId="14" fillId="0" borderId="3" xfId="0" applyNumberFormat="1" applyFont="1" applyBorder="1" applyProtection="1">
      <protection locked="0"/>
    </xf>
    <xf numFmtId="2" fontId="14" fillId="0" borderId="9" xfId="0" applyNumberFormat="1" applyFont="1" applyBorder="1" applyProtection="1">
      <protection locked="0"/>
    </xf>
    <xf numFmtId="10" fontId="14" fillId="0" borderId="3" xfId="0" applyNumberFormat="1" applyFont="1" applyBorder="1" applyProtection="1">
      <protection locked="0"/>
    </xf>
    <xf numFmtId="10" fontId="14" fillId="0" borderId="9" xfId="0" applyNumberFormat="1" applyFont="1" applyBorder="1" applyProtection="1">
      <protection locked="0"/>
    </xf>
    <xf numFmtId="0" fontId="14" fillId="0" borderId="3" xfId="0" applyFont="1" applyBorder="1" applyProtection="1">
      <protection locked="0"/>
    </xf>
    <xf numFmtId="0" fontId="14" fillId="0" borderId="9" xfId="0" applyFont="1" applyBorder="1" applyProtection="1">
      <protection locked="0"/>
    </xf>
    <xf numFmtId="10" fontId="14" fillId="0" borderId="13" xfId="0" applyNumberFormat="1" applyFont="1" applyBorder="1" applyProtection="1">
      <protection locked="0"/>
    </xf>
    <xf numFmtId="10" fontId="14" fillId="0" borderId="14" xfId="0" applyNumberFormat="1" applyFont="1" applyBorder="1" applyProtection="1">
      <protection locked="0"/>
    </xf>
    <xf numFmtId="165" fontId="14" fillId="0" borderId="3" xfId="0" applyNumberFormat="1" applyFont="1" applyBorder="1" applyProtection="1">
      <protection locked="0"/>
    </xf>
    <xf numFmtId="165" fontId="14" fillId="0" borderId="9" xfId="0" applyNumberFormat="1" applyFont="1" applyBorder="1" applyProtection="1">
      <protection locked="0"/>
    </xf>
    <xf numFmtId="0" fontId="8" fillId="4" borderId="56" xfId="0" applyFont="1" applyFill="1" applyBorder="1" applyAlignment="1" applyProtection="1">
      <alignment horizontal="center"/>
    </xf>
    <xf numFmtId="0" fontId="8" fillId="4" borderId="57" xfId="0" applyFont="1" applyFill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center"/>
    </xf>
    <xf numFmtId="10" fontId="0" fillId="0" borderId="1" xfId="0" applyNumberFormat="1" applyFont="1" applyBorder="1"/>
    <xf numFmtId="0" fontId="19" fillId="0" borderId="0" xfId="0" applyFont="1" applyProtection="1"/>
    <xf numFmtId="170" fontId="14" fillId="4" borderId="21" xfId="0" applyNumberFormat="1" applyFont="1" applyFill="1" applyBorder="1" applyAlignment="1" applyProtection="1">
      <alignment horizontal="center" vertical="center" wrapText="1"/>
    </xf>
    <xf numFmtId="10" fontId="27" fillId="0" borderId="0" xfId="0" applyNumberFormat="1" applyFont="1" applyProtection="1"/>
    <xf numFmtId="2" fontId="0" fillId="0" borderId="17" xfId="0" applyNumberFormat="1" applyBorder="1"/>
    <xf numFmtId="10" fontId="0" fillId="0" borderId="17" xfId="0" applyNumberFormat="1" applyBorder="1"/>
    <xf numFmtId="0" fontId="14" fillId="4" borderId="60" xfId="0" applyFont="1" applyFill="1" applyBorder="1" applyAlignment="1" applyProtection="1">
      <alignment vertical="center"/>
    </xf>
    <xf numFmtId="0" fontId="12" fillId="4" borderId="60" xfId="0" applyFont="1" applyFill="1" applyBorder="1" applyAlignment="1" applyProtection="1">
      <alignment vertical="center"/>
    </xf>
    <xf numFmtId="0" fontId="12" fillId="4" borderId="84" xfId="0" applyFont="1" applyFill="1" applyBorder="1" applyAlignment="1" applyProtection="1">
      <alignment vertical="center"/>
    </xf>
    <xf numFmtId="9" fontId="14" fillId="4" borderId="0" xfId="0" applyNumberFormat="1" applyFont="1" applyFill="1" applyBorder="1" applyAlignment="1" applyProtection="1">
      <alignment horizontal="center" vertical="center" wrapText="1"/>
    </xf>
    <xf numFmtId="9" fontId="14" fillId="4" borderId="0" xfId="0" applyNumberFormat="1" applyFont="1" applyFill="1" applyBorder="1" applyAlignment="1" applyProtection="1">
      <alignment horizontal="center" vertical="center"/>
    </xf>
    <xf numFmtId="9" fontId="14" fillId="4" borderId="4" xfId="0" applyNumberFormat="1" applyFont="1" applyFill="1" applyBorder="1" applyAlignment="1" applyProtection="1">
      <alignment horizontal="center" vertical="center"/>
    </xf>
    <xf numFmtId="170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0" xfId="0" applyNumberFormat="1" applyFont="1" applyBorder="1" applyAlignment="1" applyProtection="1">
      <alignment horizontal="center"/>
    </xf>
    <xf numFmtId="164" fontId="14" fillId="0" borderId="9" xfId="0" applyNumberFormat="1" applyFont="1" applyBorder="1" applyAlignment="1" applyProtection="1">
      <alignment horizontal="center"/>
    </xf>
    <xf numFmtId="170" fontId="14" fillId="4" borderId="3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Protection="1">
      <protection locked="0"/>
    </xf>
    <xf numFmtId="0" fontId="32" fillId="4" borderId="0" xfId="0" applyFont="1" applyFill="1" applyProtection="1"/>
    <xf numFmtId="0" fontId="24" fillId="4" borderId="0" xfId="0" applyFont="1" applyFill="1" applyBorder="1" applyAlignment="1" applyProtection="1">
      <alignment horizontal="center"/>
    </xf>
    <xf numFmtId="0" fontId="14" fillId="4" borderId="56" xfId="0" applyFont="1" applyFill="1" applyBorder="1" applyAlignment="1" applyProtection="1">
      <alignment horizontal="left" vertical="center"/>
    </xf>
    <xf numFmtId="0" fontId="0" fillId="0" borderId="57" xfId="0" applyBorder="1" applyProtection="1"/>
    <xf numFmtId="0" fontId="14" fillId="4" borderId="57" xfId="0" applyFont="1" applyFill="1" applyBorder="1" applyAlignment="1" applyProtection="1">
      <alignment horizontal="left" vertical="center"/>
    </xf>
    <xf numFmtId="2" fontId="14" fillId="4" borderId="13" xfId="0" applyNumberFormat="1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/>
      <protection locked="0"/>
    </xf>
    <xf numFmtId="0" fontId="12" fillId="0" borderId="10" xfId="0" applyFont="1" applyBorder="1" applyProtection="1"/>
    <xf numFmtId="0" fontId="12" fillId="0" borderId="11" xfId="0" applyFont="1" applyBorder="1" applyProtection="1"/>
    <xf numFmtId="9" fontId="14" fillId="0" borderId="12" xfId="0" applyNumberFormat="1" applyFont="1" applyBorder="1" applyProtection="1"/>
    <xf numFmtId="0" fontId="12" fillId="0" borderId="4" xfId="0" applyFont="1" applyBorder="1" applyProtection="1"/>
    <xf numFmtId="9" fontId="14" fillId="0" borderId="14" xfId="0" applyNumberFormat="1" applyFont="1" applyBorder="1" applyProtection="1"/>
    <xf numFmtId="164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 wrapText="1"/>
    </xf>
    <xf numFmtId="9" fontId="14" fillId="4" borderId="9" xfId="0" applyNumberFormat="1" applyFont="1" applyFill="1" applyBorder="1" applyAlignment="1" applyProtection="1">
      <alignment horizontal="center" vertical="center" wrapText="1"/>
    </xf>
    <xf numFmtId="9" fontId="14" fillId="4" borderId="3" xfId="0" applyNumberFormat="1" applyFont="1" applyFill="1" applyBorder="1" applyAlignment="1" applyProtection="1">
      <alignment horizontal="center" vertical="center"/>
    </xf>
    <xf numFmtId="9" fontId="14" fillId="4" borderId="9" xfId="0" applyNumberFormat="1" applyFont="1" applyFill="1" applyBorder="1" applyAlignment="1" applyProtection="1">
      <alignment horizontal="center" vertical="center"/>
    </xf>
    <xf numFmtId="9" fontId="14" fillId="4" borderId="13" xfId="0" applyNumberFormat="1" applyFont="1" applyFill="1" applyBorder="1" applyAlignment="1" applyProtection="1">
      <alignment horizontal="center" vertical="center"/>
    </xf>
    <xf numFmtId="9" fontId="14" fillId="4" borderId="14" xfId="0" applyNumberFormat="1" applyFont="1" applyFill="1" applyBorder="1" applyAlignment="1" applyProtection="1">
      <alignment horizontal="center" vertical="center"/>
    </xf>
    <xf numFmtId="9" fontId="14" fillId="4" borderId="0" xfId="1" applyNumberFormat="1" applyFont="1" applyFill="1" applyBorder="1" applyAlignment="1" applyProtection="1">
      <alignment horizontal="center" vertical="center"/>
    </xf>
    <xf numFmtId="164" fontId="14" fillId="4" borderId="13" xfId="0" applyNumberFormat="1" applyFont="1" applyFill="1" applyBorder="1" applyAlignment="1" applyProtection="1">
      <alignment horizontal="center" vertical="center" wrapText="1"/>
    </xf>
    <xf numFmtId="164" fontId="14" fillId="4" borderId="4" xfId="0" applyNumberFormat="1" applyFont="1" applyFill="1" applyBorder="1" applyAlignment="1" applyProtection="1">
      <alignment horizontal="center" vertical="center" wrapText="1"/>
    </xf>
    <xf numFmtId="164" fontId="14" fillId="4" borderId="14" xfId="0" applyNumberFormat="1" applyFont="1" applyFill="1" applyBorder="1" applyAlignment="1" applyProtection="1">
      <alignment horizontal="center" vertical="center" wrapText="1"/>
    </xf>
    <xf numFmtId="165" fontId="19" fillId="4" borderId="0" xfId="0" applyNumberFormat="1" applyFont="1" applyFill="1" applyBorder="1" applyProtection="1"/>
    <xf numFmtId="1" fontId="19" fillId="4" borderId="0" xfId="0" applyNumberFormat="1" applyFont="1" applyFill="1" applyBorder="1" applyProtection="1"/>
    <xf numFmtId="165" fontId="19" fillId="4" borderId="9" xfId="0" applyNumberFormat="1" applyFont="1" applyFill="1" applyBorder="1" applyProtection="1"/>
    <xf numFmtId="1" fontId="19" fillId="4" borderId="9" xfId="0" applyNumberFormat="1" applyFont="1" applyFill="1" applyBorder="1" applyProtection="1"/>
    <xf numFmtId="1" fontId="19" fillId="4" borderId="4" xfId="0" applyNumberFormat="1" applyFont="1" applyFill="1" applyBorder="1" applyProtection="1"/>
    <xf numFmtId="1" fontId="19" fillId="4" borderId="14" xfId="0" applyNumberFormat="1" applyFont="1" applyFill="1" applyBorder="1" applyProtection="1"/>
    <xf numFmtId="1" fontId="19" fillId="4" borderId="31" xfId="0" applyNumberFormat="1" applyFont="1" applyFill="1" applyBorder="1" applyAlignment="1" applyProtection="1">
      <alignment horizontal="center" vertical="center"/>
      <protection locked="0"/>
    </xf>
    <xf numFmtId="1" fontId="19" fillId="4" borderId="88" xfId="0" applyNumberFormat="1" applyFont="1" applyFill="1" applyBorder="1" applyAlignment="1" applyProtection="1">
      <alignment horizontal="center" vertical="center"/>
      <protection locked="0"/>
    </xf>
    <xf numFmtId="1" fontId="19" fillId="4" borderId="28" xfId="0" applyNumberFormat="1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Protection="1"/>
    <xf numFmtId="0" fontId="12" fillId="4" borderId="12" xfId="0" applyFont="1" applyFill="1" applyBorder="1" applyProtection="1"/>
    <xf numFmtId="2" fontId="14" fillId="0" borderId="26" xfId="0" applyNumberFormat="1" applyFont="1" applyBorder="1" applyProtection="1"/>
    <xf numFmtId="2" fontId="14" fillId="0" borderId="28" xfId="0" applyNumberFormat="1" applyFont="1" applyBorder="1" applyProtection="1"/>
    <xf numFmtId="2" fontId="14" fillId="0" borderId="27" xfId="0" applyNumberFormat="1" applyFont="1" applyBorder="1" applyProtection="1"/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164" fontId="14" fillId="4" borderId="10" xfId="0" applyNumberFormat="1" applyFont="1" applyFill="1" applyBorder="1"/>
    <xf numFmtId="164" fontId="14" fillId="4" borderId="11" xfId="0" applyNumberFormat="1" applyFont="1" applyFill="1" applyBorder="1"/>
    <xf numFmtId="164" fontId="14" fillId="4" borderId="12" xfId="0" applyNumberFormat="1" applyFont="1" applyFill="1" applyBorder="1"/>
    <xf numFmtId="164" fontId="14" fillId="4" borderId="3" xfId="0" applyNumberFormat="1" applyFont="1" applyFill="1" applyBorder="1"/>
    <xf numFmtId="164" fontId="14" fillId="4" borderId="9" xfId="0" applyNumberFormat="1" applyFont="1" applyFill="1" applyBorder="1"/>
    <xf numFmtId="10" fontId="14" fillId="4" borderId="13" xfId="0" applyNumberFormat="1" applyFont="1" applyFill="1" applyBorder="1"/>
    <xf numFmtId="10" fontId="14" fillId="4" borderId="4" xfId="0" applyNumberFormat="1" applyFont="1" applyFill="1" applyBorder="1"/>
    <xf numFmtId="10" fontId="14" fillId="4" borderId="14" xfId="0" applyNumberFormat="1" applyFont="1" applyFill="1" applyBorder="1"/>
    <xf numFmtId="0" fontId="0" fillId="0" borderId="12" xfId="0" applyBorder="1"/>
    <xf numFmtId="0" fontId="14" fillId="4" borderId="3" xfId="0" applyFont="1" applyFill="1" applyBorder="1" applyAlignment="1" applyProtection="1">
      <alignment horizontal="left"/>
    </xf>
    <xf numFmtId="0" fontId="8" fillId="0" borderId="0" xfId="0" applyFont="1" applyAlignment="1" applyProtection="1"/>
    <xf numFmtId="0" fontId="0" fillId="0" borderId="0" xfId="0"/>
    <xf numFmtId="0" fontId="0" fillId="4" borderId="0" xfId="0" applyFill="1" applyBorder="1" applyAlignment="1" applyProtection="1">
      <alignment horizontal="left" wrapText="1"/>
    </xf>
    <xf numFmtId="164" fontId="0" fillId="4" borderId="0" xfId="0" applyNumberFormat="1" applyFill="1" applyBorder="1" applyAlignment="1" applyProtection="1">
      <alignment horizontal="center" wrapText="1"/>
    </xf>
    <xf numFmtId="0" fontId="6" fillId="4" borderId="0" xfId="0" applyFont="1" applyFill="1" applyBorder="1" applyAlignment="1" applyProtection="1">
      <alignment horizontal="left" vertical="center"/>
    </xf>
    <xf numFmtId="1" fontId="0" fillId="0" borderId="0" xfId="0" applyNumberFormat="1" applyBorder="1" applyProtection="1"/>
    <xf numFmtId="10" fontId="0" fillId="0" borderId="99" xfId="0" applyNumberFormat="1" applyBorder="1" applyProtection="1"/>
    <xf numFmtId="10" fontId="0" fillId="0" borderId="100" xfId="0" applyNumberFormat="1" applyBorder="1" applyProtection="1"/>
    <xf numFmtId="10" fontId="0" fillId="0" borderId="101" xfId="0" applyNumberFormat="1" applyBorder="1" applyProtection="1"/>
    <xf numFmtId="10" fontId="0" fillId="0" borderId="102" xfId="0" applyNumberFormat="1" applyBorder="1" applyProtection="1"/>
    <xf numFmtId="1" fontId="0" fillId="0" borderId="99" xfId="0" applyNumberFormat="1" applyBorder="1" applyProtection="1"/>
    <xf numFmtId="1" fontId="0" fillId="0" borderId="100" xfId="0" applyNumberFormat="1" applyBorder="1" applyProtection="1"/>
    <xf numFmtId="1" fontId="0" fillId="0" borderId="101" xfId="0" applyNumberFormat="1" applyBorder="1" applyProtection="1"/>
    <xf numFmtId="1" fontId="0" fillId="0" borderId="102" xfId="0" applyNumberFormat="1" applyBorder="1" applyProtection="1"/>
    <xf numFmtId="0" fontId="13" fillId="0" borderId="3" xfId="0" applyFont="1" applyBorder="1" applyAlignment="1">
      <alignment horizontal="right"/>
    </xf>
    <xf numFmtId="10" fontId="5" fillId="0" borderId="3" xfId="0" applyNumberFormat="1" applyFont="1" applyBorder="1"/>
    <xf numFmtId="9" fontId="5" fillId="0" borderId="95" xfId="0" applyNumberFormat="1" applyFont="1" applyBorder="1" applyAlignment="1">
      <alignment horizontal="center"/>
    </xf>
    <xf numFmtId="0" fontId="5" fillId="0" borderId="13" xfId="0" applyFont="1" applyBorder="1" applyAlignment="1">
      <alignment horizontal="right"/>
    </xf>
    <xf numFmtId="165" fontId="5" fillId="0" borderId="13" xfId="0" applyNumberFormat="1" applyFont="1" applyBorder="1" applyAlignment="1">
      <alignment horizontal="center"/>
    </xf>
    <xf numFmtId="165" fontId="5" fillId="0" borderId="41" xfId="0" applyNumberFormat="1" applyFont="1" applyBorder="1" applyAlignment="1">
      <alignment horizontal="center"/>
    </xf>
    <xf numFmtId="165" fontId="5" fillId="0" borderId="96" xfId="0" applyNumberFormat="1" applyFont="1" applyBorder="1" applyAlignment="1">
      <alignment horizontal="center"/>
    </xf>
    <xf numFmtId="0" fontId="13" fillId="0" borderId="21" xfId="0" applyFont="1" applyBorder="1" applyAlignment="1">
      <alignment horizontal="right"/>
    </xf>
    <xf numFmtId="9" fontId="5" fillId="0" borderId="21" xfId="0" applyNumberFormat="1" applyFont="1" applyBorder="1" applyAlignment="1">
      <alignment horizontal="center"/>
    </xf>
    <xf numFmtId="9" fontId="5" fillId="0" borderId="5" xfId="0" applyNumberFormat="1" applyFont="1" applyBorder="1" applyAlignment="1">
      <alignment horizontal="center"/>
    </xf>
    <xf numFmtId="10" fontId="5" fillId="0" borderId="20" xfId="0" applyNumberFormat="1" applyFont="1" applyBorder="1" applyAlignment="1">
      <alignment horizontal="center"/>
    </xf>
    <xf numFmtId="1" fontId="12" fillId="4" borderId="46" xfId="0" applyNumberFormat="1" applyFont="1" applyFill="1" applyBorder="1" applyProtection="1">
      <protection locked="0"/>
    </xf>
    <xf numFmtId="9" fontId="5" fillId="0" borderId="43" xfId="0" applyNumberFormat="1" applyFont="1" applyBorder="1" applyAlignment="1">
      <alignment horizontal="center"/>
    </xf>
    <xf numFmtId="9" fontId="5" fillId="0" borderId="42" xfId="0" applyNumberFormat="1" applyFont="1" applyBorder="1" applyAlignment="1">
      <alignment horizontal="center"/>
    </xf>
    <xf numFmtId="10" fontId="5" fillId="0" borderId="98" xfId="0" applyNumberFormat="1" applyFont="1" applyBorder="1" applyAlignment="1">
      <alignment horizontal="center"/>
    </xf>
    <xf numFmtId="0" fontId="5" fillId="0" borderId="21" xfId="0" applyFont="1" applyBorder="1"/>
    <xf numFmtId="9" fontId="5" fillId="0" borderId="20" xfId="0" applyNumberFormat="1" applyFont="1" applyBorder="1" applyAlignment="1">
      <alignment horizontal="center"/>
    </xf>
    <xf numFmtId="1" fontId="5" fillId="4" borderId="47" xfId="0" applyNumberFormat="1" applyFont="1" applyFill="1" applyBorder="1" applyProtection="1">
      <protection locked="0"/>
    </xf>
    <xf numFmtId="0" fontId="5" fillId="0" borderId="3" xfId="0" applyFont="1" applyBorder="1"/>
    <xf numFmtId="0" fontId="5" fillId="0" borderId="9" xfId="0" applyFont="1" applyBorder="1"/>
    <xf numFmtId="0" fontId="5" fillId="0" borderId="3" xfId="0" applyFont="1" applyBorder="1" applyAlignment="1">
      <alignment horizontal="right"/>
    </xf>
    <xf numFmtId="9" fontId="5" fillId="0" borderId="3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25" fillId="0" borderId="3" xfId="0" applyFont="1" applyBorder="1" applyAlignment="1">
      <alignment horizontal="right"/>
    </xf>
    <xf numFmtId="9" fontId="0" fillId="0" borderId="1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44" xfId="0" applyNumberFormat="1" applyBorder="1" applyAlignment="1">
      <alignment horizontal="center"/>
    </xf>
    <xf numFmtId="9" fontId="0" fillId="0" borderId="4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12" fillId="4" borderId="15" xfId="0" applyFont="1" applyFill="1" applyBorder="1" applyAlignment="1" applyProtection="1">
      <alignment horizontal="left" vertical="center"/>
    </xf>
    <xf numFmtId="1" fontId="12" fillId="4" borderId="3" xfId="0" applyNumberFormat="1" applyFont="1" applyFill="1" applyBorder="1" applyAlignment="1" applyProtection="1">
      <alignment horizontal="center" vertical="center" wrapText="1"/>
    </xf>
    <xf numFmtId="1" fontId="12" fillId="4" borderId="0" xfId="0" applyNumberFormat="1" applyFont="1" applyFill="1" applyBorder="1" applyAlignment="1" applyProtection="1">
      <alignment horizontal="center" vertical="center" wrapText="1"/>
    </xf>
    <xf numFmtId="173" fontId="31" fillId="4" borderId="0" xfId="0" applyNumberFormat="1" applyFont="1" applyFill="1" applyBorder="1" applyAlignment="1" applyProtection="1">
      <alignment horizontal="center" vertical="center" wrapText="1"/>
    </xf>
    <xf numFmtId="173" fontId="31" fillId="4" borderId="3" xfId="0" applyNumberFormat="1" applyFont="1" applyFill="1" applyBorder="1" applyAlignment="1" applyProtection="1">
      <alignment horizontal="center" vertical="center" wrapText="1"/>
    </xf>
    <xf numFmtId="173" fontId="31" fillId="4" borderId="9" xfId="0" applyNumberFormat="1" applyFont="1" applyFill="1" applyBorder="1" applyAlignment="1" applyProtection="1">
      <alignment horizontal="center" vertical="center" wrapText="1"/>
    </xf>
    <xf numFmtId="173" fontId="31" fillId="4" borderId="4" xfId="0" applyNumberFormat="1" applyFont="1" applyFill="1" applyBorder="1" applyAlignment="1" applyProtection="1">
      <alignment horizontal="center" vertical="center" wrapText="1"/>
    </xf>
    <xf numFmtId="173" fontId="31" fillId="4" borderId="13" xfId="0" applyNumberFormat="1" applyFont="1" applyFill="1" applyBorder="1" applyAlignment="1" applyProtection="1">
      <alignment horizontal="center" vertical="center" wrapText="1"/>
    </xf>
    <xf numFmtId="173" fontId="31" fillId="4" borderId="1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9" fontId="4" fillId="4" borderId="0" xfId="1" applyFont="1" applyFill="1" applyBorder="1" applyAlignment="1" applyProtection="1">
      <alignment horizontal="center" vertical="center" wrapText="1"/>
      <protection locked="0"/>
    </xf>
    <xf numFmtId="10" fontId="0" fillId="0" borderId="0" xfId="1" applyNumberFormat="1" applyFont="1" applyProtection="1"/>
    <xf numFmtId="9" fontId="0" fillId="4" borderId="0" xfId="1" applyFont="1" applyFill="1" applyBorder="1" applyAlignment="1" applyProtection="1">
      <alignment horizontal="center" wrapText="1"/>
    </xf>
    <xf numFmtId="0" fontId="0" fillId="0" borderId="0" xfId="0"/>
    <xf numFmtId="0" fontId="0" fillId="0" borderId="1" xfId="0" applyBorder="1" applyProtection="1"/>
    <xf numFmtId="0" fontId="8" fillId="0" borderId="15" xfId="0" applyFont="1" applyBorder="1" applyProtection="1"/>
    <xf numFmtId="9" fontId="12" fillId="17" borderId="1" xfId="0" applyNumberFormat="1" applyFont="1" applyFill="1" applyBorder="1" applyAlignment="1" applyProtection="1">
      <alignment horizontal="center"/>
      <protection locked="0"/>
    </xf>
    <xf numFmtId="0" fontId="18" fillId="17" borderId="27" xfId="0" applyFont="1" applyFill="1" applyBorder="1" applyAlignment="1" applyProtection="1">
      <alignment horizontal="center"/>
    </xf>
    <xf numFmtId="0" fontId="18" fillId="10" borderId="15" xfId="0" applyFont="1" applyFill="1" applyBorder="1" applyAlignment="1" applyProtection="1">
      <alignment horizontal="center"/>
    </xf>
    <xf numFmtId="0" fontId="18" fillId="10" borderId="16" xfId="0" applyFont="1" applyFill="1" applyBorder="1" applyAlignment="1" applyProtection="1">
      <alignment horizontal="center"/>
    </xf>
    <xf numFmtId="0" fontId="18" fillId="10" borderId="17" xfId="0" applyFont="1" applyFill="1" applyBorder="1" applyAlignment="1" applyProtection="1">
      <alignment horizontal="center"/>
    </xf>
    <xf numFmtId="0" fontId="12" fillId="18" borderId="10" xfId="0" applyFont="1" applyFill="1" applyBorder="1"/>
    <xf numFmtId="0" fontId="12" fillId="18" borderId="58" xfId="0" applyFont="1" applyFill="1" applyBorder="1" applyProtection="1">
      <protection locked="0"/>
    </xf>
    <xf numFmtId="0" fontId="12" fillId="18" borderId="59" xfId="0" applyFont="1" applyFill="1" applyBorder="1" applyProtection="1">
      <protection locked="0"/>
    </xf>
    <xf numFmtId="0" fontId="12" fillId="18" borderId="75" xfId="0" applyFont="1" applyFill="1" applyBorder="1" applyProtection="1">
      <protection locked="0"/>
    </xf>
    <xf numFmtId="0" fontId="5" fillId="0" borderId="3" xfId="0" applyFont="1" applyFill="1" applyBorder="1"/>
    <xf numFmtId="0" fontId="5" fillId="0" borderId="1" xfId="0" applyFont="1" applyFill="1" applyBorder="1" applyProtection="1">
      <protection locked="0"/>
    </xf>
    <xf numFmtId="0" fontId="5" fillId="0" borderId="94" xfId="0" applyFont="1" applyFill="1" applyBorder="1" applyProtection="1">
      <protection locked="0"/>
    </xf>
    <xf numFmtId="0" fontId="5" fillId="0" borderId="40" xfId="0" applyFont="1" applyFill="1" applyBorder="1" applyProtection="1">
      <protection locked="0"/>
    </xf>
    <xf numFmtId="0" fontId="5" fillId="0" borderId="76" xfId="0" applyFont="1" applyFill="1" applyBorder="1" applyProtection="1">
      <protection locked="0"/>
    </xf>
    <xf numFmtId="0" fontId="12" fillId="18" borderId="10" xfId="0" applyFont="1" applyFill="1" applyBorder="1" applyAlignment="1">
      <alignment horizontal="left"/>
    </xf>
    <xf numFmtId="173" fontId="12" fillId="18" borderId="10" xfId="0" applyNumberFormat="1" applyFont="1" applyFill="1" applyBorder="1" applyProtection="1">
      <protection locked="0"/>
    </xf>
    <xf numFmtId="173" fontId="12" fillId="18" borderId="11" xfId="0" applyNumberFormat="1" applyFont="1" applyFill="1" applyBorder="1" applyProtection="1">
      <protection locked="0"/>
    </xf>
    <xf numFmtId="173" fontId="12" fillId="18" borderId="12" xfId="0" applyNumberFormat="1" applyFont="1" applyFill="1" applyBorder="1" applyProtection="1">
      <protection locked="0"/>
    </xf>
    <xf numFmtId="0" fontId="12" fillId="0" borderId="22" xfId="0" applyFont="1" applyFill="1" applyBorder="1"/>
    <xf numFmtId="171" fontId="12" fillId="0" borderId="37" xfId="0" applyNumberFormat="1" applyFont="1" applyFill="1" applyBorder="1" applyProtection="1">
      <protection locked="0"/>
    </xf>
    <xf numFmtId="171" fontId="12" fillId="0" borderId="38" xfId="0" applyNumberFormat="1" applyFont="1" applyFill="1" applyBorder="1" applyProtection="1">
      <protection locked="0"/>
    </xf>
    <xf numFmtId="171" fontId="12" fillId="0" borderId="97" xfId="0" applyNumberFormat="1" applyFont="1" applyFill="1" applyBorder="1" applyProtection="1">
      <protection locked="0"/>
    </xf>
    <xf numFmtId="0" fontId="12" fillId="18" borderId="3" xfId="0" applyFont="1" applyFill="1" applyBorder="1"/>
    <xf numFmtId="171" fontId="12" fillId="18" borderId="37" xfId="0" applyNumberFormat="1" applyFont="1" applyFill="1" applyBorder="1" applyProtection="1">
      <protection locked="0"/>
    </xf>
    <xf numFmtId="171" fontId="12" fillId="18" borderId="38" xfId="0" applyNumberFormat="1" applyFont="1" applyFill="1" applyBorder="1" applyProtection="1">
      <protection locked="0"/>
    </xf>
    <xf numFmtId="171" fontId="12" fillId="18" borderId="97" xfId="0" applyNumberFormat="1" applyFont="1" applyFill="1" applyBorder="1" applyProtection="1">
      <protection locked="0"/>
    </xf>
    <xf numFmtId="0" fontId="5" fillId="0" borderId="22" xfId="0" applyFont="1" applyFill="1" applyBorder="1"/>
    <xf numFmtId="171" fontId="5" fillId="0" borderId="3" xfId="0" applyNumberFormat="1" applyFont="1" applyFill="1" applyBorder="1"/>
    <xf numFmtId="0" fontId="12" fillId="18" borderId="9" xfId="0" applyFont="1" applyFill="1" applyBorder="1"/>
    <xf numFmtId="0" fontId="18" fillId="10" borderId="13" xfId="0" applyFont="1" applyFill="1" applyBorder="1"/>
    <xf numFmtId="173" fontId="18" fillId="10" borderId="4" xfId="0" applyNumberFormat="1" applyFont="1" applyFill="1" applyBorder="1" applyProtection="1">
      <protection locked="0"/>
    </xf>
    <xf numFmtId="173" fontId="18" fillId="10" borderId="14" xfId="0" applyNumberFormat="1" applyFont="1" applyFill="1" applyBorder="1" applyProtection="1">
      <protection locked="0"/>
    </xf>
    <xf numFmtId="0" fontId="12" fillId="0" borderId="38" xfId="0" applyFont="1" applyFill="1" applyBorder="1" applyProtection="1">
      <protection locked="0"/>
    </xf>
    <xf numFmtId="0" fontId="12" fillId="0" borderId="50" xfId="0" applyFont="1" applyFill="1" applyBorder="1" applyProtection="1">
      <protection locked="0"/>
    </xf>
    <xf numFmtId="0" fontId="12" fillId="0" borderId="48" xfId="0" applyFont="1" applyFill="1" applyBorder="1" applyProtection="1">
      <protection locked="0"/>
    </xf>
    <xf numFmtId="0" fontId="12" fillId="0" borderId="49" xfId="0" applyFont="1" applyFill="1" applyBorder="1" applyProtection="1">
      <protection locked="0"/>
    </xf>
    <xf numFmtId="0" fontId="12" fillId="0" borderId="51" xfId="0" applyFont="1" applyFill="1" applyBorder="1" applyProtection="1">
      <protection locked="0"/>
    </xf>
    <xf numFmtId="0" fontId="8" fillId="10" borderId="33" xfId="0" applyFont="1" applyFill="1" applyBorder="1" applyProtection="1"/>
    <xf numFmtId="0" fontId="12" fillId="10" borderId="52" xfId="0" applyFont="1" applyFill="1" applyBorder="1" applyProtection="1">
      <protection locked="0"/>
    </xf>
    <xf numFmtId="0" fontId="12" fillId="10" borderId="53" xfId="0" applyFont="1" applyFill="1" applyBorder="1" applyProtection="1">
      <protection locked="0"/>
    </xf>
    <xf numFmtId="0" fontId="12" fillId="10" borderId="54" xfId="0" applyFont="1" applyFill="1" applyBorder="1" applyProtection="1">
      <protection locked="0"/>
    </xf>
    <xf numFmtId="0" fontId="12" fillId="10" borderId="55" xfId="0" applyFont="1" applyFill="1" applyBorder="1" applyProtection="1">
      <protection locked="0"/>
    </xf>
    <xf numFmtId="0" fontId="25" fillId="16" borderId="3" xfId="0" applyFont="1" applyFill="1" applyBorder="1" applyAlignment="1">
      <alignment horizontal="right"/>
    </xf>
    <xf numFmtId="2" fontId="0" fillId="16" borderId="21" xfId="0" applyNumberFormat="1" applyFill="1" applyBorder="1" applyAlignment="1">
      <alignment horizontal="center"/>
    </xf>
    <xf numFmtId="2" fontId="0" fillId="16" borderId="5" xfId="0" applyNumberFormat="1" applyFill="1" applyBorder="1" applyAlignment="1">
      <alignment horizontal="center"/>
    </xf>
    <xf numFmtId="172" fontId="0" fillId="16" borderId="29" xfId="0" applyNumberFormat="1" applyFill="1" applyBorder="1" applyAlignment="1">
      <alignment horizontal="center"/>
    </xf>
    <xf numFmtId="0" fontId="18" fillId="17" borderId="19" xfId="0" applyFont="1" applyFill="1" applyBorder="1" applyAlignment="1" applyProtection="1">
      <alignment horizontal="center"/>
    </xf>
    <xf numFmtId="0" fontId="18" fillId="17" borderId="0" xfId="0" applyFont="1" applyFill="1" applyBorder="1" applyAlignment="1" applyProtection="1">
      <alignment horizontal="center"/>
    </xf>
    <xf numFmtId="0" fontId="18" fillId="17" borderId="6" xfId="0" applyFont="1" applyFill="1" applyBorder="1" applyAlignment="1" applyProtection="1">
      <alignment horizontal="center"/>
    </xf>
    <xf numFmtId="0" fontId="12" fillId="0" borderId="58" xfId="0" applyFont="1" applyFill="1" applyBorder="1" applyProtection="1">
      <protection locked="0"/>
    </xf>
    <xf numFmtId="0" fontId="12" fillId="0" borderId="59" xfId="0" applyFont="1" applyFill="1" applyBorder="1" applyProtection="1">
      <protection locked="0"/>
    </xf>
    <xf numFmtId="0" fontId="12" fillId="0" borderId="75" xfId="0" applyFont="1" applyFill="1" applyBorder="1" applyProtection="1">
      <protection locked="0"/>
    </xf>
    <xf numFmtId="0" fontId="12" fillId="0" borderId="39" xfId="0" applyFont="1" applyFill="1" applyBorder="1" applyProtection="1">
      <protection locked="0"/>
    </xf>
    <xf numFmtId="0" fontId="12" fillId="0" borderId="40" xfId="0" applyFont="1" applyFill="1" applyBorder="1" applyProtection="1">
      <protection locked="0"/>
    </xf>
    <xf numFmtId="0" fontId="12" fillId="0" borderId="76" xfId="0" applyFont="1" applyFill="1" applyBorder="1" applyProtection="1">
      <protection locked="0"/>
    </xf>
    <xf numFmtId="0" fontId="12" fillId="0" borderId="85" xfId="0" applyFont="1" applyFill="1" applyBorder="1" applyProtection="1">
      <protection locked="0"/>
    </xf>
    <xf numFmtId="0" fontId="12" fillId="0" borderId="77" xfId="0" applyFont="1" applyFill="1" applyBorder="1" applyProtection="1">
      <protection locked="0"/>
    </xf>
    <xf numFmtId="0" fontId="12" fillId="0" borderId="78" xfId="0" applyFont="1" applyFill="1" applyBorder="1" applyProtection="1">
      <protection locked="0"/>
    </xf>
    <xf numFmtId="0" fontId="18" fillId="16" borderId="11" xfId="0" applyFont="1" applyFill="1" applyBorder="1" applyAlignment="1" applyProtection="1">
      <alignment horizontal="center"/>
    </xf>
    <xf numFmtId="1" fontId="18" fillId="10" borderId="16" xfId="0" applyNumberFormat="1" applyFont="1" applyFill="1" applyBorder="1" applyAlignment="1" applyProtection="1">
      <alignment horizontal="center" vertical="center"/>
    </xf>
    <xf numFmtId="0" fontId="18" fillId="16" borderId="10" xfId="0" applyFont="1" applyFill="1" applyBorder="1" applyAlignment="1" applyProtection="1">
      <alignment horizontal="center"/>
    </xf>
    <xf numFmtId="0" fontId="18" fillId="16" borderId="12" xfId="0" applyFont="1" applyFill="1" applyBorder="1" applyAlignment="1" applyProtection="1">
      <alignment horizontal="center"/>
    </xf>
    <xf numFmtId="1" fontId="19" fillId="4" borderId="90" xfId="0" applyNumberFormat="1" applyFont="1" applyFill="1" applyBorder="1" applyAlignment="1" applyProtection="1">
      <alignment horizontal="center" vertical="center"/>
      <protection locked="0"/>
    </xf>
    <xf numFmtId="1" fontId="19" fillId="4" borderId="30" xfId="0" applyNumberFormat="1" applyFont="1" applyFill="1" applyBorder="1" applyAlignment="1" applyProtection="1">
      <alignment horizontal="center" vertical="center"/>
      <protection locked="0"/>
    </xf>
    <xf numFmtId="165" fontId="19" fillId="4" borderId="3" xfId="0" applyNumberFormat="1" applyFont="1" applyFill="1" applyBorder="1" applyProtection="1"/>
    <xf numFmtId="1" fontId="19" fillId="4" borderId="3" xfId="0" applyNumberFormat="1" applyFont="1" applyFill="1" applyBorder="1" applyProtection="1"/>
    <xf numFmtId="1" fontId="19" fillId="4" borderId="89" xfId="0" applyNumberFormat="1" applyFont="1" applyFill="1" applyBorder="1" applyAlignment="1" applyProtection="1">
      <alignment horizontal="center" vertical="center"/>
      <protection locked="0"/>
    </xf>
    <xf numFmtId="1" fontId="19" fillId="4" borderId="13" xfId="0" applyNumberFormat="1" applyFont="1" applyFill="1" applyBorder="1" applyProtection="1"/>
    <xf numFmtId="0" fontId="14" fillId="15" borderId="3" xfId="0" applyFont="1" applyFill="1" applyBorder="1" applyProtection="1"/>
    <xf numFmtId="0" fontId="14" fillId="15" borderId="0" xfId="0" applyFont="1" applyFill="1" applyBorder="1" applyProtection="1"/>
    <xf numFmtId="0" fontId="14" fillId="15" borderId="9" xfId="0" applyFont="1" applyFill="1" applyBorder="1" applyProtection="1"/>
    <xf numFmtId="170" fontId="14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7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8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8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Fill="1" applyBorder="1" applyAlignment="1" applyProtection="1">
      <alignment horizontal="center"/>
    </xf>
    <xf numFmtId="164" fontId="14" fillId="0" borderId="4" xfId="0" applyNumberFormat="1" applyFont="1" applyFill="1" applyBorder="1" applyAlignment="1" applyProtection="1">
      <alignment horizontal="center"/>
    </xf>
    <xf numFmtId="164" fontId="14" fillId="0" borderId="14" xfId="0" applyNumberFormat="1" applyFont="1" applyFill="1" applyBorder="1" applyAlignment="1" applyProtection="1">
      <alignment horizontal="center"/>
    </xf>
    <xf numFmtId="170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 applyProtection="1">
      <alignment horizontal="center"/>
    </xf>
    <xf numFmtId="0" fontId="33" fillId="15" borderId="3" xfId="0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19" fillId="0" borderId="0" xfId="0" applyFont="1" applyFill="1" applyBorder="1" applyProtection="1"/>
    <xf numFmtId="0" fontId="19" fillId="0" borderId="9" xfId="0" applyFont="1" applyFill="1" applyBorder="1" applyProtection="1"/>
    <xf numFmtId="0" fontId="8" fillId="0" borderId="10" xfId="0" applyFont="1" applyBorder="1" applyProtection="1"/>
    <xf numFmtId="1" fontId="18" fillId="10" borderId="11" xfId="0" applyNumberFormat="1" applyFont="1" applyFill="1" applyBorder="1" applyAlignment="1" applyProtection="1">
      <alignment horizontal="center" vertical="center"/>
    </xf>
    <xf numFmtId="0" fontId="18" fillId="10" borderId="11" xfId="0" applyFont="1" applyFill="1" applyBorder="1" applyAlignment="1" applyProtection="1">
      <alignment horizontal="center"/>
    </xf>
    <xf numFmtId="170" fontId="14" fillId="0" borderId="110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0" xfId="0" applyNumberFormat="1" applyFont="1" applyFill="1" applyBorder="1" applyAlignment="1" applyProtection="1">
      <alignment horizontal="center" vertical="center" wrapText="1"/>
      <protection locked="0"/>
    </xf>
    <xf numFmtId="0" fontId="33" fillId="15" borderId="15" xfId="0" applyFont="1" applyFill="1" applyBorder="1" applyAlignment="1" applyProtection="1">
      <alignment horizontal="center"/>
    </xf>
    <xf numFmtId="0" fontId="14" fillId="15" borderId="16" xfId="0" applyFont="1" applyFill="1" applyBorder="1" applyProtection="1"/>
    <xf numFmtId="0" fontId="14" fillId="15" borderId="15" xfId="0" applyFont="1" applyFill="1" applyBorder="1" applyProtection="1"/>
    <xf numFmtId="0" fontId="14" fillId="15" borderId="17" xfId="0" applyFont="1" applyFill="1" applyBorder="1" applyProtection="1"/>
    <xf numFmtId="0" fontId="14" fillId="0" borderId="3" xfId="0" applyFont="1" applyBorder="1" applyAlignment="1" applyProtection="1">
      <alignment horizontal="left"/>
    </xf>
    <xf numFmtId="170" fontId="14" fillId="0" borderId="11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65" xfId="0" applyNumberFormat="1" applyFont="1" applyFill="1" applyBorder="1" applyAlignment="1" applyProtection="1">
      <alignment horizontal="center" vertical="center"/>
      <protection locked="0"/>
    </xf>
    <xf numFmtId="1" fontId="5" fillId="0" borderId="65" xfId="0" applyNumberFormat="1" applyFont="1" applyFill="1" applyBorder="1" applyAlignment="1" applyProtection="1">
      <alignment horizontal="center" vertical="center"/>
      <protection locked="0"/>
    </xf>
    <xf numFmtId="0" fontId="5" fillId="15" borderId="16" xfId="0" applyFont="1" applyFill="1" applyBorder="1"/>
    <xf numFmtId="2" fontId="18" fillId="4" borderId="3" xfId="0" applyNumberFormat="1" applyFont="1" applyFill="1" applyBorder="1" applyAlignment="1" applyProtection="1">
      <alignment horizontal="left" vertical="center"/>
    </xf>
    <xf numFmtId="0" fontId="0" fillId="0" borderId="10" xfId="0" applyBorder="1"/>
    <xf numFmtId="0" fontId="0" fillId="0" borderId="13" xfId="0" applyBorder="1"/>
    <xf numFmtId="0" fontId="0" fillId="0" borderId="4" xfId="0" applyBorder="1"/>
    <xf numFmtId="0" fontId="0" fillId="0" borderId="14" xfId="0" applyBorder="1"/>
    <xf numFmtId="0" fontId="12" fillId="0" borderId="15" xfId="0" applyFont="1" applyBorder="1" applyProtection="1"/>
    <xf numFmtId="2" fontId="14" fillId="0" borderId="15" xfId="0" applyNumberFormat="1" applyFont="1" applyBorder="1" applyProtection="1"/>
    <xf numFmtId="2" fontId="14" fillId="0" borderId="16" xfId="0" applyNumberFormat="1" applyFont="1" applyBorder="1" applyProtection="1"/>
    <xf numFmtId="2" fontId="14" fillId="0" borderId="17" xfId="0" applyNumberFormat="1" applyFont="1" applyBorder="1" applyProtection="1"/>
    <xf numFmtId="0" fontId="12" fillId="4" borderId="22" xfId="0" applyFont="1" applyFill="1" applyBorder="1" applyProtection="1"/>
    <xf numFmtId="0" fontId="12" fillId="4" borderId="21" xfId="0" applyFont="1" applyFill="1" applyBorder="1" applyProtection="1"/>
    <xf numFmtId="0" fontId="14" fillId="4" borderId="3" xfId="0" applyFont="1" applyFill="1" applyBorder="1" applyProtection="1"/>
    <xf numFmtId="0" fontId="14" fillId="4" borderId="13" xfId="0" applyFont="1" applyFill="1" applyBorder="1" applyProtection="1"/>
    <xf numFmtId="1" fontId="18" fillId="10" borderId="10" xfId="0" applyNumberFormat="1" applyFont="1" applyFill="1" applyBorder="1" applyAlignment="1" applyProtection="1">
      <alignment horizontal="center" vertical="center"/>
    </xf>
    <xf numFmtId="0" fontId="18" fillId="10" borderId="12" xfId="0" applyFont="1" applyFill="1" applyBorder="1" applyAlignment="1" applyProtection="1">
      <alignment horizontal="center"/>
    </xf>
    <xf numFmtId="170" fontId="14" fillId="0" borderId="112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3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4" xfId="0" applyNumberFormat="1" applyFont="1" applyFill="1" applyBorder="1" applyAlignment="1" applyProtection="1">
      <alignment horizontal="center" vertical="center" wrapText="1"/>
      <protection locked="0"/>
    </xf>
    <xf numFmtId="170" fontId="14" fillId="0" borderId="115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16" xfId="0" applyNumberFormat="1" applyFont="1" applyFill="1" applyBorder="1" applyAlignment="1" applyProtection="1">
      <alignment horizontal="center" vertical="center" wrapText="1"/>
      <protection locked="0"/>
    </xf>
    <xf numFmtId="0" fontId="5" fillId="15" borderId="17" xfId="0" applyFont="1" applyFill="1" applyBorder="1"/>
    <xf numFmtId="1" fontId="14" fillId="0" borderId="117" xfId="0" applyNumberFormat="1" applyFont="1" applyFill="1" applyBorder="1" applyAlignment="1" applyProtection="1">
      <alignment horizontal="center" vertical="center"/>
      <protection locked="0"/>
    </xf>
    <xf numFmtId="1" fontId="5" fillId="0" borderId="118" xfId="0" applyNumberFormat="1" applyFont="1" applyFill="1" applyBorder="1" applyAlignment="1" applyProtection="1">
      <alignment horizontal="center" vertical="center"/>
      <protection locked="0"/>
    </xf>
    <xf numFmtId="170" fontId="5" fillId="0" borderId="119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center" vertical="center" wrapText="1"/>
    </xf>
    <xf numFmtId="171" fontId="12" fillId="0" borderId="92" xfId="0" applyNumberFormat="1" applyFont="1" applyFill="1" applyBorder="1" applyProtection="1">
      <protection locked="0"/>
    </xf>
    <xf numFmtId="171" fontId="12" fillId="0" borderId="48" xfId="0" applyNumberFormat="1" applyFont="1" applyFill="1" applyBorder="1" applyProtection="1">
      <protection locked="0"/>
    </xf>
    <xf numFmtId="169" fontId="19" fillId="0" borderId="93" xfId="0" applyNumberFormat="1" applyFont="1" applyFill="1" applyBorder="1" applyAlignment="1" applyProtection="1">
      <alignment horizontal="center" vertical="center"/>
      <protection locked="0"/>
    </xf>
    <xf numFmtId="169" fontId="19" fillId="0" borderId="10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171" fontId="12" fillId="0" borderId="86" xfId="0" applyNumberFormat="1" applyFont="1" applyFill="1" applyBorder="1" applyProtection="1">
      <protection locked="0"/>
    </xf>
    <xf numFmtId="171" fontId="12" fillId="0" borderId="87" xfId="0" applyNumberFormat="1" applyFont="1" applyFill="1" applyBorder="1" applyProtection="1">
      <protection locked="0"/>
    </xf>
    <xf numFmtId="169" fontId="19" fillId="0" borderId="87" xfId="0" applyNumberFormat="1" applyFont="1" applyFill="1" applyBorder="1" applyAlignment="1" applyProtection="1">
      <alignment horizontal="center" vertical="center"/>
      <protection locked="0"/>
    </xf>
    <xf numFmtId="169" fontId="19" fillId="0" borderId="108" xfId="0" applyNumberFormat="1" applyFont="1" applyFill="1" applyBorder="1" applyAlignment="1" applyProtection="1">
      <alignment horizontal="center" vertical="center"/>
      <protection locked="0"/>
    </xf>
    <xf numFmtId="171" fontId="12" fillId="0" borderId="0" xfId="0" applyNumberFormat="1" applyFont="1" applyFill="1" applyBorder="1" applyProtection="1">
      <protection locked="0"/>
    </xf>
    <xf numFmtId="169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0" fontId="16" fillId="0" borderId="104" xfId="1" applyNumberFormat="1" applyFont="1" applyFill="1" applyBorder="1" applyAlignment="1" applyProtection="1">
      <alignment horizontal="center" wrapText="1"/>
    </xf>
    <xf numFmtId="10" fontId="16" fillId="0" borderId="105" xfId="1" applyNumberFormat="1" applyFont="1" applyFill="1" applyBorder="1" applyAlignment="1" applyProtection="1">
      <alignment horizontal="center" wrapText="1"/>
    </xf>
    <xf numFmtId="9" fontId="16" fillId="0" borderId="104" xfId="1" applyFont="1" applyFill="1" applyBorder="1" applyAlignment="1" applyProtection="1">
      <alignment horizontal="center" wrapText="1"/>
    </xf>
    <xf numFmtId="9" fontId="16" fillId="0" borderId="105" xfId="1" applyFont="1" applyFill="1" applyBorder="1" applyAlignment="1" applyProtection="1">
      <alignment horizontal="center" wrapText="1"/>
    </xf>
    <xf numFmtId="164" fontId="0" fillId="0" borderId="0" xfId="0" applyNumberFormat="1" applyFill="1" applyBorder="1" applyAlignment="1" applyProtection="1">
      <alignment horizontal="center" wrapText="1"/>
    </xf>
    <xf numFmtId="1" fontId="0" fillId="0" borderId="0" xfId="0" applyNumberFormat="1" applyFill="1" applyBorder="1" applyProtection="1"/>
    <xf numFmtId="0" fontId="12" fillId="10" borderId="0" xfId="0" applyFont="1" applyFill="1" applyBorder="1" applyAlignment="1" applyProtection="1">
      <alignment horizontal="center" vertical="center" wrapText="1"/>
    </xf>
    <xf numFmtId="0" fontId="12" fillId="10" borderId="6" xfId="0" applyFont="1" applyFill="1" applyBorder="1" applyAlignment="1" applyProtection="1">
      <alignment horizontal="center" vertical="center" wrapText="1"/>
    </xf>
    <xf numFmtId="9" fontId="12" fillId="17" borderId="82" xfId="1" applyFont="1" applyFill="1" applyBorder="1" applyAlignment="1" applyProtection="1">
      <alignment horizontal="center" vertical="center" wrapText="1"/>
    </xf>
    <xf numFmtId="9" fontId="12" fillId="17" borderId="34" xfId="1" applyFont="1" applyFill="1" applyBorder="1" applyAlignment="1" applyProtection="1">
      <alignment horizontal="center" vertical="center" wrapText="1"/>
    </xf>
    <xf numFmtId="9" fontId="12" fillId="17" borderId="83" xfId="1" applyFont="1" applyFill="1" applyBorder="1" applyAlignment="1" applyProtection="1">
      <alignment horizontal="center" vertical="center" wrapText="1"/>
    </xf>
    <xf numFmtId="9" fontId="12" fillId="17" borderId="35" xfId="1" applyFont="1" applyFill="1" applyBorder="1" applyAlignment="1" applyProtection="1">
      <alignment horizontal="center" vertical="center" wrapText="1"/>
    </xf>
    <xf numFmtId="164" fontId="14" fillId="17" borderId="24" xfId="0" applyNumberFormat="1" applyFont="1" applyFill="1" applyBorder="1"/>
    <xf numFmtId="164" fontId="14" fillId="17" borderId="19" xfId="0" applyNumberFormat="1" applyFont="1" applyFill="1" applyBorder="1"/>
    <xf numFmtId="0" fontId="12" fillId="10" borderId="10" xfId="0" applyFont="1" applyFill="1" applyBorder="1"/>
    <xf numFmtId="1" fontId="12" fillId="10" borderId="31" xfId="0" applyNumberFormat="1" applyFont="1" applyFill="1" applyBorder="1" applyAlignment="1">
      <alignment horizontal="right"/>
    </xf>
    <xf numFmtId="1" fontId="12" fillId="10" borderId="11" xfId="0" applyNumberFormat="1" applyFont="1" applyFill="1" applyBorder="1" applyAlignment="1">
      <alignment horizontal="right"/>
    </xf>
    <xf numFmtId="1" fontId="12" fillId="10" borderId="12" xfId="0" applyNumberFormat="1" applyFont="1" applyFill="1" applyBorder="1" applyAlignment="1">
      <alignment horizontal="right"/>
    </xf>
    <xf numFmtId="0" fontId="12" fillId="4" borderId="120" xfId="0" applyFont="1" applyFill="1" applyBorder="1"/>
    <xf numFmtId="0" fontId="12" fillId="4" borderId="60" xfId="0" applyFont="1" applyFill="1" applyBorder="1"/>
    <xf numFmtId="0" fontId="12" fillId="4" borderId="84" xfId="0" applyFont="1" applyFill="1" applyBorder="1"/>
    <xf numFmtId="10" fontId="14" fillId="17" borderId="121" xfId="0" applyNumberFormat="1" applyFont="1" applyFill="1" applyBorder="1"/>
    <xf numFmtId="0" fontId="0" fillId="0" borderId="3" xfId="0" applyBorder="1"/>
    <xf numFmtId="0" fontId="0" fillId="17" borderId="1" xfId="0" applyFill="1" applyBorder="1" applyAlignment="1" applyProtection="1">
      <alignment horizontal="center" vertical="center"/>
      <protection locked="0"/>
    </xf>
    <xf numFmtId="0" fontId="15" fillId="17" borderId="10" xfId="0" applyFont="1" applyFill="1" applyBorder="1"/>
    <xf numFmtId="0" fontId="15" fillId="17" borderId="12" xfId="0" applyFont="1" applyFill="1" applyBorder="1"/>
    <xf numFmtId="0" fontId="15" fillId="17" borderId="3" xfId="0" applyFont="1" applyFill="1" applyBorder="1"/>
    <xf numFmtId="0" fontId="15" fillId="17" borderId="9" xfId="0" applyFont="1" applyFill="1" applyBorder="1"/>
    <xf numFmtId="0" fontId="21" fillId="17" borderId="3" xfId="0" applyFont="1" applyFill="1" applyBorder="1"/>
    <xf numFmtId="0" fontId="15" fillId="17" borderId="13" xfId="0" applyFont="1" applyFill="1" applyBorder="1"/>
    <xf numFmtId="0" fontId="15" fillId="17" borderId="14" xfId="0" applyFont="1" applyFill="1" applyBorder="1"/>
    <xf numFmtId="0" fontId="20" fillId="10" borderId="10" xfId="0" applyFont="1" applyFill="1" applyBorder="1" applyAlignment="1">
      <alignment horizontal="center"/>
    </xf>
    <xf numFmtId="0" fontId="20" fillId="10" borderId="11" xfId="0" applyFont="1" applyFill="1" applyBorder="1" applyAlignment="1">
      <alignment horizontal="center"/>
    </xf>
    <xf numFmtId="0" fontId="20" fillId="10" borderId="12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3" xfId="0" applyFont="1" applyFill="1" applyBorder="1"/>
    <xf numFmtId="0" fontId="15" fillId="10" borderId="3" xfId="0" quotePrefix="1" applyFont="1" applyFill="1" applyBorder="1" applyAlignment="1">
      <alignment horizontal="right"/>
    </xf>
    <xf numFmtId="0" fontId="15" fillId="10" borderId="3" xfId="0" applyFont="1" applyFill="1" applyBorder="1" applyAlignment="1">
      <alignment horizontal="right"/>
    </xf>
    <xf numFmtId="0" fontId="15" fillId="10" borderId="13" xfId="0" applyFont="1" applyFill="1" applyBorder="1" applyAlignment="1">
      <alignment horizontal="right"/>
    </xf>
    <xf numFmtId="164" fontId="0" fillId="4" borderId="3" xfId="0" applyNumberFormat="1" applyFill="1" applyBorder="1" applyAlignment="1" applyProtection="1">
      <alignment horizontal="center" wrapText="1"/>
    </xf>
    <xf numFmtId="0" fontId="12" fillId="4" borderId="3" xfId="0" applyFont="1" applyFill="1" applyBorder="1" applyAlignment="1" applyProtection="1">
      <alignment horizontal="left" vertical="center"/>
    </xf>
    <xf numFmtId="0" fontId="8" fillId="4" borderId="0" xfId="0" applyFont="1" applyFill="1" applyBorder="1" applyAlignment="1" applyProtection="1">
      <alignment horizontal="left" wrapText="1"/>
    </xf>
    <xf numFmtId="0" fontId="12" fillId="4" borderId="13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/>
    </xf>
    <xf numFmtId="0" fontId="0" fillId="0" borderId="0" xfId="0" applyBorder="1" applyProtection="1"/>
    <xf numFmtId="1" fontId="18" fillId="4" borderId="0" xfId="0" applyNumberFormat="1" applyFont="1" applyFill="1" applyBorder="1" applyProtection="1">
      <protection locked="0"/>
    </xf>
    <xf numFmtId="1" fontId="18" fillId="4" borderId="9" xfId="0" applyNumberFormat="1" applyFont="1" applyFill="1" applyBorder="1" applyProtection="1">
      <protection locked="0"/>
    </xf>
    <xf numFmtId="9" fontId="5" fillId="0" borderId="0" xfId="0" applyNumberFormat="1" applyFont="1" applyBorder="1" applyAlignment="1">
      <alignment horizontal="center"/>
    </xf>
    <xf numFmtId="9" fontId="5" fillId="4" borderId="0" xfId="0" applyNumberFormat="1" applyFont="1" applyFill="1" applyBorder="1"/>
    <xf numFmtId="9" fontId="5" fillId="4" borderId="9" xfId="0" applyNumberFormat="1" applyFont="1" applyFill="1" applyBorder="1"/>
    <xf numFmtId="0" fontId="5" fillId="4" borderId="0" xfId="0" applyFont="1" applyFill="1" applyBorder="1" applyProtection="1">
      <protection locked="0"/>
    </xf>
    <xf numFmtId="0" fontId="5" fillId="4" borderId="9" xfId="0" applyFont="1" applyFill="1" applyBorder="1" applyProtection="1">
      <protection locked="0"/>
    </xf>
    <xf numFmtId="0" fontId="5" fillId="4" borderId="0" xfId="0" applyFont="1" applyFill="1" applyBorder="1"/>
    <xf numFmtId="0" fontId="5" fillId="4" borderId="9" xfId="0" applyFont="1" applyFill="1" applyBorder="1"/>
    <xf numFmtId="10" fontId="5" fillId="0" borderId="0" xfId="0" applyNumberFormat="1" applyFont="1" applyBorder="1" applyAlignment="1">
      <alignment horizontal="center"/>
    </xf>
    <xf numFmtId="10" fontId="5" fillId="0" borderId="9" xfId="0" applyNumberFormat="1" applyFont="1" applyBorder="1" applyAlignment="1">
      <alignment horizontal="center"/>
    </xf>
    <xf numFmtId="1" fontId="12" fillId="4" borderId="123" xfId="0" applyNumberFormat="1" applyFont="1" applyFill="1" applyBorder="1" applyProtection="1">
      <protection locked="0"/>
    </xf>
    <xf numFmtId="1" fontId="12" fillId="4" borderId="0" xfId="0" applyNumberFormat="1" applyFont="1" applyFill="1" applyBorder="1" applyProtection="1">
      <protection locked="0"/>
    </xf>
    <xf numFmtId="1" fontId="5" fillId="4" borderId="124" xfId="0" applyNumberFormat="1" applyFont="1" applyFill="1" applyBorder="1" applyProtection="1">
      <protection locked="0"/>
    </xf>
    <xf numFmtId="0" fontId="5" fillId="0" borderId="0" xfId="0" applyFont="1" applyBorder="1"/>
    <xf numFmtId="0" fontId="12" fillId="18" borderId="0" xfId="0" applyFont="1" applyFill="1" applyBorder="1"/>
    <xf numFmtId="1" fontId="12" fillId="4" borderId="0" xfId="0" applyNumberFormat="1" applyFont="1" applyFill="1" applyBorder="1"/>
    <xf numFmtId="1" fontId="12" fillId="4" borderId="9" xfId="0" applyNumberFormat="1" applyFont="1" applyFill="1" applyBorder="1"/>
    <xf numFmtId="1" fontId="5" fillId="4" borderId="0" xfId="0" applyNumberFormat="1" applyFont="1" applyFill="1" applyBorder="1"/>
    <xf numFmtId="1" fontId="5" fillId="4" borderId="9" xfId="0" applyNumberFormat="1" applyFont="1" applyFill="1" applyBorder="1"/>
    <xf numFmtId="173" fontId="12" fillId="4" borderId="0" xfId="0" applyNumberFormat="1" applyFont="1" applyFill="1" applyBorder="1" applyProtection="1">
      <protection locked="0"/>
    </xf>
    <xf numFmtId="173" fontId="12" fillId="4" borderId="9" xfId="0" applyNumberFormat="1" applyFont="1" applyFill="1" applyBorder="1" applyProtection="1">
      <protection locked="0"/>
    </xf>
    <xf numFmtId="9" fontId="0" fillId="0" borderId="122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12" fillId="0" borderId="13" xfId="0" applyFont="1" applyFill="1" applyBorder="1" applyAlignment="1">
      <alignment horizontal="left"/>
    </xf>
    <xf numFmtId="0" fontId="12" fillId="0" borderId="125" xfId="0" applyFont="1" applyFill="1" applyBorder="1" applyProtection="1">
      <protection locked="0"/>
    </xf>
    <xf numFmtId="0" fontId="12" fillId="0" borderId="126" xfId="0" applyFont="1" applyFill="1" applyBorder="1" applyProtection="1">
      <protection locked="0"/>
    </xf>
    <xf numFmtId="0" fontId="12" fillId="0" borderId="127" xfId="0" applyFont="1" applyFill="1" applyBorder="1" applyProtection="1">
      <protection locked="0"/>
    </xf>
    <xf numFmtId="0" fontId="12" fillId="0" borderId="128" xfId="0" applyFont="1" applyFill="1" applyBorder="1" applyProtection="1">
      <protection locked="0"/>
    </xf>
    <xf numFmtId="0" fontId="12" fillId="0" borderId="129" xfId="0" applyFont="1" applyFill="1" applyBorder="1" applyProtection="1">
      <protection locked="0"/>
    </xf>
    <xf numFmtId="0" fontId="3" fillId="4" borderId="3" xfId="0" applyFont="1" applyFill="1" applyBorder="1" applyAlignment="1" applyProtection="1">
      <alignment horizontal="left" vertical="center"/>
    </xf>
    <xf numFmtId="9" fontId="12" fillId="4" borderId="3" xfId="1" applyFont="1" applyFill="1" applyBorder="1" applyAlignment="1" applyProtection="1">
      <alignment horizontal="center" vertical="center" wrapText="1"/>
    </xf>
    <xf numFmtId="9" fontId="12" fillId="4" borderId="0" xfId="1" applyFont="1" applyFill="1" applyBorder="1" applyAlignment="1" applyProtection="1">
      <alignment horizontal="center" vertical="center" wrapText="1"/>
    </xf>
    <xf numFmtId="1" fontId="12" fillId="4" borderId="4" xfId="0" applyNumberFormat="1" applyFont="1" applyFill="1" applyBorder="1" applyAlignment="1" applyProtection="1">
      <alignment horizontal="center" vertical="center" wrapText="1"/>
    </xf>
    <xf numFmtId="0" fontId="12" fillId="4" borderId="56" xfId="0" applyFont="1" applyFill="1" applyBorder="1" applyAlignment="1" applyProtection="1">
      <alignment horizontal="left" vertical="center"/>
    </xf>
    <xf numFmtId="0" fontId="12" fillId="4" borderId="2" xfId="0" applyFont="1" applyFill="1" applyBorder="1" applyAlignment="1" applyProtection="1">
      <alignment horizontal="left" vertical="center"/>
    </xf>
    <xf numFmtId="174" fontId="12" fillId="0" borderId="9" xfId="0" applyNumberFormat="1" applyFont="1" applyFill="1" applyBorder="1" applyProtection="1">
      <protection locked="0"/>
    </xf>
    <xf numFmtId="174" fontId="5" fillId="4" borderId="0" xfId="0" applyNumberFormat="1" applyFont="1" applyFill="1" applyBorder="1" applyProtection="1">
      <protection locked="0"/>
    </xf>
    <xf numFmtId="174" fontId="5" fillId="4" borderId="9" xfId="0" applyNumberFormat="1" applyFont="1" applyFill="1" applyBorder="1" applyProtection="1">
      <protection locked="0"/>
    </xf>
    <xf numFmtId="2" fontId="14" fillId="4" borderId="15" xfId="0" applyNumberFormat="1" applyFont="1" applyFill="1" applyBorder="1" applyAlignment="1" applyProtection="1">
      <alignment horizontal="center" vertical="center" wrapText="1"/>
    </xf>
    <xf numFmtId="2" fontId="14" fillId="4" borderId="16" xfId="0" applyNumberFormat="1" applyFont="1" applyFill="1" applyBorder="1" applyAlignment="1" applyProtection="1">
      <alignment horizontal="center" vertical="center" wrapText="1"/>
    </xf>
    <xf numFmtId="2" fontId="14" fillId="4" borderId="17" xfId="0" applyNumberFormat="1" applyFont="1" applyFill="1" applyBorder="1" applyAlignment="1" applyProtection="1">
      <alignment horizontal="center" vertical="center" wrapText="1"/>
    </xf>
    <xf numFmtId="2" fontId="2" fillId="0" borderId="27" xfId="0" applyNumberFormat="1" applyFont="1" applyBorder="1" applyProtection="1"/>
    <xf numFmtId="10" fontId="0" fillId="0" borderId="33" xfId="0" applyNumberFormat="1" applyFill="1" applyBorder="1" applyProtection="1"/>
    <xf numFmtId="10" fontId="0" fillId="0" borderId="106" xfId="0" applyNumberFormat="1" applyFill="1" applyBorder="1" applyProtection="1"/>
    <xf numFmtId="10" fontId="0" fillId="0" borderId="33" xfId="1" applyNumberFormat="1" applyFont="1" applyFill="1" applyBorder="1" applyProtection="1"/>
    <xf numFmtId="1" fontId="0" fillId="0" borderId="106" xfId="0" applyNumberFormat="1" applyFill="1" applyBorder="1" applyProtection="1"/>
    <xf numFmtId="173" fontId="14" fillId="0" borderId="104" xfId="0" applyNumberFormat="1" applyFont="1" applyFill="1" applyBorder="1" applyAlignment="1" applyProtection="1">
      <alignment horizontal="center" vertical="center" wrapText="1"/>
      <protection locked="0"/>
    </xf>
    <xf numFmtId="173" fontId="0" fillId="0" borderId="104" xfId="0" applyNumberFormat="1" applyFill="1" applyBorder="1" applyProtection="1">
      <protection locked="0"/>
    </xf>
    <xf numFmtId="175" fontId="12" fillId="4" borderId="104" xfId="0" applyNumberFormat="1" applyFont="1" applyFill="1" applyBorder="1" applyAlignment="1" applyProtection="1">
      <alignment horizontal="center" vertical="center" wrapText="1"/>
    </xf>
    <xf numFmtId="9" fontId="12" fillId="4" borderId="104" xfId="1" applyFont="1" applyFill="1" applyBorder="1" applyAlignment="1" applyProtection="1">
      <alignment horizontal="center" vertical="center" wrapText="1"/>
    </xf>
    <xf numFmtId="173" fontId="14" fillId="4" borderId="104" xfId="0" applyNumberFormat="1" applyFont="1" applyFill="1" applyBorder="1" applyAlignment="1" applyProtection="1">
      <alignment horizontal="center" vertical="center" wrapText="1"/>
    </xf>
    <xf numFmtId="0" fontId="0" fillId="0" borderId="104" xfId="0" applyFill="1" applyBorder="1" applyAlignment="1" applyProtection="1">
      <alignment horizontal="center" wrapText="1"/>
    </xf>
    <xf numFmtId="173" fontId="12" fillId="4" borderId="104" xfId="2" applyNumberFormat="1" applyFont="1" applyFill="1" applyBorder="1" applyAlignment="1" applyProtection="1">
      <alignment horizontal="center" vertical="center" wrapText="1"/>
    </xf>
    <xf numFmtId="173" fontId="14" fillId="4" borderId="104" xfId="2" applyNumberFormat="1" applyFont="1" applyFill="1" applyBorder="1" applyAlignment="1" applyProtection="1">
      <alignment horizontal="center" vertical="center" wrapText="1"/>
    </xf>
    <xf numFmtId="1" fontId="12" fillId="10" borderId="30" xfId="0" applyNumberFormat="1" applyFont="1" applyFill="1" applyBorder="1" applyAlignment="1">
      <alignment horizontal="right"/>
    </xf>
    <xf numFmtId="176" fontId="0" fillId="0" borderId="1" xfId="0" applyNumberFormat="1" applyFont="1" applyBorder="1" applyAlignment="1">
      <alignment horizontal="center"/>
    </xf>
    <xf numFmtId="0" fontId="18" fillId="15" borderId="15" xfId="0" applyFont="1" applyFill="1" applyBorder="1" applyAlignment="1"/>
    <xf numFmtId="0" fontId="18" fillId="15" borderId="16" xfId="0" applyFont="1" applyFill="1" applyBorder="1" applyAlignment="1"/>
    <xf numFmtId="173" fontId="0" fillId="0" borderId="1" xfId="0" applyNumberFormat="1" applyFont="1" applyBorder="1"/>
    <xf numFmtId="0" fontId="18" fillId="16" borderId="100" xfId="0" applyFont="1" applyFill="1" applyBorder="1" applyAlignment="1" applyProtection="1">
      <alignment horizontal="center"/>
    </xf>
    <xf numFmtId="0" fontId="18" fillId="16" borderId="109" xfId="0" applyFont="1" applyFill="1" applyBorder="1" applyAlignment="1" applyProtection="1">
      <alignment horizontal="center"/>
    </xf>
    <xf numFmtId="173" fontId="14" fillId="0" borderId="105" xfId="0" applyNumberFormat="1" applyFont="1" applyFill="1" applyBorder="1" applyAlignment="1" applyProtection="1">
      <alignment horizontal="center" vertical="center" wrapText="1"/>
      <protection locked="0"/>
    </xf>
    <xf numFmtId="171" fontId="12" fillId="0" borderId="3" xfId="0" applyNumberFormat="1" applyFont="1" applyFill="1" applyBorder="1" applyProtection="1">
      <protection locked="0"/>
    </xf>
    <xf numFmtId="173" fontId="0" fillId="0" borderId="105" xfId="0" applyNumberFormat="1" applyFill="1" applyBorder="1" applyProtection="1">
      <protection locked="0"/>
    </xf>
    <xf numFmtId="0" fontId="28" fillId="0" borderId="3" xfId="0" applyFont="1" applyFill="1" applyBorder="1" applyAlignment="1" applyProtection="1">
      <alignment horizontal="center" vertical="center" wrapText="1"/>
      <protection locked="0"/>
    </xf>
    <xf numFmtId="175" fontId="12" fillId="4" borderId="105" xfId="0" applyNumberFormat="1" applyFont="1" applyFill="1" applyBorder="1" applyAlignment="1" applyProtection="1">
      <alignment horizontal="center" vertical="center" wrapText="1"/>
    </xf>
    <xf numFmtId="1" fontId="12" fillId="4" borderId="13" xfId="0" applyNumberFormat="1" applyFont="1" applyFill="1" applyBorder="1" applyAlignment="1" applyProtection="1">
      <alignment horizontal="center" vertical="center" wrapText="1"/>
    </xf>
    <xf numFmtId="9" fontId="12" fillId="4" borderId="105" xfId="1" applyFont="1" applyFill="1" applyBorder="1" applyAlignment="1" applyProtection="1">
      <alignment horizontal="center" vertical="center" wrapText="1"/>
    </xf>
    <xf numFmtId="173" fontId="14" fillId="4" borderId="105" xfId="0" applyNumberFormat="1" applyFont="1" applyFill="1" applyBorder="1" applyAlignment="1" applyProtection="1">
      <alignment horizontal="center" vertical="center" wrapText="1"/>
    </xf>
    <xf numFmtId="0" fontId="0" fillId="0" borderId="105" xfId="0" applyFill="1" applyBorder="1" applyProtection="1"/>
    <xf numFmtId="173" fontId="12" fillId="4" borderId="105" xfId="2" applyNumberFormat="1" applyFont="1" applyFill="1" applyBorder="1" applyAlignment="1" applyProtection="1">
      <alignment horizontal="center" vertical="center" wrapText="1"/>
    </xf>
    <xf numFmtId="173" fontId="14" fillId="4" borderId="105" xfId="2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173" fontId="35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10" borderId="99" xfId="0" applyFont="1" applyFill="1" applyBorder="1" applyAlignment="1" applyProtection="1">
      <alignment horizontal="center"/>
    </xf>
    <xf numFmtId="173" fontId="19" fillId="0" borderId="130" xfId="0" applyNumberFormat="1" applyFont="1" applyFill="1" applyBorder="1" applyAlignment="1" applyProtection="1">
      <alignment horizontal="center" vertical="center"/>
      <protection locked="0"/>
    </xf>
    <xf numFmtId="173" fontId="0" fillId="0" borderId="130" xfId="0" applyNumberFormat="1" applyFill="1" applyBorder="1" applyProtection="1">
      <protection locked="0"/>
    </xf>
    <xf numFmtId="173" fontId="5" fillId="0" borderId="130" xfId="0" applyNumberFormat="1" applyFont="1" applyFill="1" applyBorder="1" applyAlignment="1" applyProtection="1">
      <alignment horizontal="center" vertical="center" wrapText="1"/>
      <protection locked="0"/>
    </xf>
    <xf numFmtId="175" fontId="12" fillId="4" borderId="130" xfId="0" applyNumberFormat="1" applyFont="1" applyFill="1" applyBorder="1" applyAlignment="1" applyProtection="1">
      <alignment horizontal="center" vertical="center" wrapText="1"/>
    </xf>
    <xf numFmtId="9" fontId="12" fillId="4" borderId="130" xfId="1" applyFont="1" applyFill="1" applyBorder="1" applyAlignment="1" applyProtection="1">
      <alignment horizontal="center" vertical="center" wrapText="1"/>
    </xf>
    <xf numFmtId="173" fontId="14" fillId="4" borderId="130" xfId="0" applyNumberFormat="1" applyFont="1" applyFill="1" applyBorder="1" applyAlignment="1" applyProtection="1">
      <alignment horizontal="center" vertical="center" wrapText="1"/>
    </xf>
    <xf numFmtId="164" fontId="0" fillId="0" borderId="130" xfId="0" applyNumberFormat="1" applyFill="1" applyBorder="1" applyAlignment="1" applyProtection="1">
      <alignment horizontal="center" wrapText="1"/>
    </xf>
    <xf numFmtId="173" fontId="12" fillId="4" borderId="130" xfId="2" applyNumberFormat="1" applyFont="1" applyFill="1" applyBorder="1" applyAlignment="1" applyProtection="1">
      <alignment horizontal="center" vertical="center" wrapText="1"/>
    </xf>
    <xf numFmtId="173" fontId="14" fillId="4" borderId="130" xfId="2" applyNumberFormat="1" applyFont="1" applyFill="1" applyBorder="1" applyAlignment="1" applyProtection="1">
      <alignment horizontal="center" vertical="center" wrapText="1"/>
    </xf>
    <xf numFmtId="10" fontId="16" fillId="0" borderId="130" xfId="1" applyNumberFormat="1" applyFont="1" applyFill="1" applyBorder="1" applyAlignment="1" applyProtection="1">
      <alignment horizontal="center" wrapText="1"/>
    </xf>
    <xf numFmtId="9" fontId="16" fillId="0" borderId="130" xfId="1" applyFont="1" applyFill="1" applyBorder="1" applyAlignment="1" applyProtection="1">
      <alignment horizontal="center" wrapText="1"/>
    </xf>
    <xf numFmtId="165" fontId="16" fillId="0" borderId="101" xfId="1" applyNumberFormat="1" applyFont="1" applyFill="1" applyBorder="1" applyAlignment="1" applyProtection="1">
      <alignment horizontal="center" wrapText="1"/>
    </xf>
    <xf numFmtId="165" fontId="16" fillId="0" borderId="102" xfId="1" applyNumberFormat="1" applyFont="1" applyFill="1" applyBorder="1" applyAlignment="1" applyProtection="1">
      <alignment horizontal="center" wrapText="1"/>
    </xf>
    <xf numFmtId="165" fontId="16" fillId="0" borderId="103" xfId="1" applyNumberFormat="1" applyFont="1" applyFill="1" applyBorder="1" applyAlignment="1" applyProtection="1">
      <alignment horizontal="center" wrapText="1"/>
    </xf>
    <xf numFmtId="9" fontId="14" fillId="0" borderId="0" xfId="1" applyFont="1" applyProtection="1"/>
    <xf numFmtId="0" fontId="36" fillId="16" borderId="15" xfId="0" applyFont="1" applyFill="1" applyBorder="1" applyAlignment="1" applyProtection="1">
      <alignment horizontal="center" vertical="center"/>
      <protection locked="0"/>
    </xf>
    <xf numFmtId="0" fontId="24" fillId="16" borderId="16" xfId="0" applyFont="1" applyFill="1" applyBorder="1" applyAlignment="1" applyProtection="1">
      <alignment horizontal="center" vertical="center"/>
      <protection locked="0"/>
    </xf>
    <xf numFmtId="0" fontId="24" fillId="16" borderId="17" xfId="0" applyFont="1" applyFill="1" applyBorder="1" applyAlignment="1" applyProtection="1">
      <alignment horizontal="center" vertical="center"/>
      <protection locked="0"/>
    </xf>
    <xf numFmtId="0" fontId="12" fillId="10" borderId="26" xfId="0" applyFont="1" applyFill="1" applyBorder="1" applyAlignment="1" applyProtection="1">
      <alignment horizontal="center"/>
    </xf>
    <xf numFmtId="0" fontId="12" fillId="10" borderId="28" xfId="0" applyFont="1" applyFill="1" applyBorder="1" applyAlignment="1" applyProtection="1">
      <alignment horizontal="center"/>
    </xf>
    <xf numFmtId="0" fontId="12" fillId="10" borderId="27" xfId="0" applyFont="1" applyFill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10" borderId="15" xfId="0" applyFont="1" applyFill="1" applyBorder="1" applyAlignment="1" applyProtection="1">
      <alignment horizontal="center"/>
    </xf>
    <xf numFmtId="0" fontId="8" fillId="10" borderId="16" xfId="0" applyFont="1" applyFill="1" applyBorder="1" applyAlignment="1" applyProtection="1">
      <alignment horizontal="center"/>
    </xf>
    <xf numFmtId="0" fontId="8" fillId="10" borderId="17" xfId="0" applyFont="1" applyFill="1" applyBorder="1" applyAlignment="1" applyProtection="1">
      <alignment horizontal="center"/>
    </xf>
    <xf numFmtId="0" fontId="14" fillId="0" borderId="21" xfId="0" applyFont="1" applyBorder="1" applyAlignment="1" applyProtection="1">
      <alignment horizontal="right"/>
    </xf>
    <xf numFmtId="0" fontId="14" fillId="0" borderId="20" xfId="0" applyFont="1" applyBorder="1" applyAlignment="1" applyProtection="1">
      <alignment horizontal="right"/>
    </xf>
    <xf numFmtId="0" fontId="14" fillId="4" borderId="22" xfId="0" applyFont="1" applyFill="1" applyBorder="1" applyAlignment="1" applyProtection="1">
      <alignment horizontal="right" vertical="center"/>
    </xf>
    <xf numFmtId="0" fontId="14" fillId="4" borderId="23" xfId="0" applyFont="1" applyFill="1" applyBorder="1" applyAlignment="1" applyProtection="1">
      <alignment horizontal="right" vertical="center"/>
    </xf>
    <xf numFmtId="0" fontId="14" fillId="4" borderId="21" xfId="0" applyFont="1" applyFill="1" applyBorder="1" applyAlignment="1" applyProtection="1">
      <alignment horizontal="right" vertical="center"/>
    </xf>
    <xf numFmtId="0" fontId="14" fillId="4" borderId="20" xfId="0" applyFont="1" applyFill="1" applyBorder="1" applyAlignment="1" applyProtection="1">
      <alignment horizontal="right" vertical="center"/>
    </xf>
    <xf numFmtId="0" fontId="14" fillId="4" borderId="89" xfId="0" applyFont="1" applyFill="1" applyBorder="1" applyAlignment="1" applyProtection="1">
      <alignment horizontal="right" vertical="center"/>
    </xf>
    <xf numFmtId="0" fontId="14" fillId="4" borderId="90" xfId="0" applyFont="1" applyFill="1" applyBorder="1" applyAlignment="1" applyProtection="1">
      <alignment horizontal="right" vertical="center"/>
    </xf>
    <xf numFmtId="0" fontId="12" fillId="10" borderId="26" xfId="0" applyFont="1" applyFill="1" applyBorder="1" applyAlignment="1" applyProtection="1">
      <alignment horizontal="left" vertical="center"/>
    </xf>
    <xf numFmtId="0" fontId="12" fillId="10" borderId="27" xfId="0" applyFont="1" applyFill="1" applyBorder="1" applyAlignment="1" applyProtection="1">
      <alignment horizontal="left" vertical="center"/>
    </xf>
    <xf numFmtId="0" fontId="12" fillId="16" borderId="15" xfId="0" applyFont="1" applyFill="1" applyBorder="1" applyAlignment="1" applyProtection="1">
      <alignment horizontal="center"/>
    </xf>
    <xf numFmtId="0" fontId="12" fillId="16" borderId="16" xfId="0" applyFont="1" applyFill="1" applyBorder="1" applyAlignment="1" applyProtection="1">
      <alignment horizontal="center"/>
    </xf>
    <xf numFmtId="0" fontId="12" fillId="16" borderId="17" xfId="0" applyFont="1" applyFill="1" applyBorder="1" applyAlignment="1" applyProtection="1">
      <alignment horizontal="center"/>
    </xf>
    <xf numFmtId="0" fontId="12" fillId="0" borderId="15" xfId="0" applyFont="1" applyBorder="1" applyAlignment="1" applyProtection="1">
      <alignment horizontal="center"/>
    </xf>
    <xf numFmtId="0" fontId="12" fillId="0" borderId="16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2" fontId="14" fillId="0" borderId="15" xfId="0" applyNumberFormat="1" applyFont="1" applyBorder="1" applyAlignment="1" applyProtection="1">
      <alignment horizontal="center"/>
    </xf>
    <xf numFmtId="2" fontId="14" fillId="0" borderId="16" xfId="0" applyNumberFormat="1" applyFont="1" applyBorder="1" applyAlignment="1" applyProtection="1">
      <alignment horizontal="center"/>
    </xf>
    <xf numFmtId="2" fontId="14" fillId="0" borderId="17" xfId="0" applyNumberFormat="1" applyFont="1" applyBorder="1" applyAlignment="1" applyProtection="1">
      <alignment horizontal="center"/>
    </xf>
    <xf numFmtId="0" fontId="14" fillId="0" borderId="22" xfId="0" applyFont="1" applyBorder="1" applyAlignment="1" applyProtection="1">
      <alignment horizontal="right"/>
    </xf>
    <xf numFmtId="0" fontId="14" fillId="0" borderId="23" xfId="0" applyFont="1" applyBorder="1" applyAlignment="1" applyProtection="1">
      <alignment horizontal="right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38" fontId="21" fillId="0" borderId="15" xfId="0" applyNumberFormat="1" applyFont="1" applyBorder="1" applyAlignment="1">
      <alignment horizontal="center"/>
    </xf>
    <xf numFmtId="38" fontId="21" fillId="0" borderId="16" xfId="0" applyNumberFormat="1" applyFont="1" applyBorder="1" applyAlignment="1">
      <alignment horizontal="center"/>
    </xf>
    <xf numFmtId="38" fontId="21" fillId="0" borderId="17" xfId="0" applyNumberFormat="1" applyFont="1" applyBorder="1" applyAlignment="1">
      <alignment horizontal="center"/>
    </xf>
    <xf numFmtId="0" fontId="12" fillId="4" borderId="0" xfId="0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/>
    </xf>
    <xf numFmtId="0" fontId="22" fillId="15" borderId="0" xfId="0" applyFont="1" applyFill="1" applyAlignment="1">
      <alignment horizontal="center"/>
    </xf>
    <xf numFmtId="0" fontId="0" fillId="0" borderId="0" xfId="0"/>
    <xf numFmtId="0" fontId="12" fillId="4" borderId="0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24" fillId="15" borderId="15" xfId="0" applyFont="1" applyFill="1" applyBorder="1" applyAlignment="1">
      <alignment horizontal="center"/>
    </xf>
    <xf numFmtId="0" fontId="24" fillId="15" borderId="16" xfId="0" applyFont="1" applyFill="1" applyBorder="1" applyAlignment="1">
      <alignment horizontal="center"/>
    </xf>
    <xf numFmtId="0" fontId="24" fillId="15" borderId="17" xfId="0" applyFont="1" applyFill="1" applyBorder="1" applyAlignment="1">
      <alignment horizontal="center"/>
    </xf>
    <xf numFmtId="0" fontId="23" fillId="4" borderId="15" xfId="0" applyFont="1" applyFill="1" applyBorder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30" fillId="9" borderId="15" xfId="0" applyFont="1" applyFill="1" applyBorder="1" applyAlignment="1" applyProtection="1">
      <alignment horizontal="center"/>
      <protection locked="0"/>
    </xf>
    <xf numFmtId="0" fontId="30" fillId="9" borderId="16" xfId="0" applyFont="1" applyFill="1" applyBorder="1" applyAlignment="1" applyProtection="1">
      <alignment horizontal="center"/>
      <protection locked="0"/>
    </xf>
    <xf numFmtId="0" fontId="30" fillId="9" borderId="17" xfId="0" applyFont="1" applyFill="1" applyBorder="1" applyAlignment="1" applyProtection="1">
      <alignment horizontal="center"/>
      <protection locked="0"/>
    </xf>
    <xf numFmtId="0" fontId="8" fillId="0" borderId="3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1" fontId="12" fillId="4" borderId="9" xfId="0" applyNumberFormat="1" applyFont="1" applyFill="1" applyBorder="1" applyProtection="1">
      <protection locked="0"/>
    </xf>
    <xf numFmtId="173" fontId="18" fillId="10" borderId="13" xfId="0" applyNumberFormat="1" applyFont="1" applyFill="1" applyBorder="1" applyProtection="1">
      <protection locked="0"/>
    </xf>
  </cellXfs>
  <cellStyles count="3">
    <cellStyle name="Moneda" xfId="2" builtinId="4"/>
    <cellStyle name="Normal" xfId="0" builtinId="0"/>
    <cellStyle name="Porcentaje" xfId="1" builtinId="5"/>
  </cellStyles>
  <dxfs count="5"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REVENUE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4695194726117103E-2"/>
          <c:y val="0.14856481481481484"/>
          <c:w val="0.89662729658792661"/>
          <c:h val="0.72088764946049255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chemeClr val="bg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trendlineType val="linear"/>
            <c:dispRSqr val="0"/>
            <c:dispEq val="0"/>
          </c:trendline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Statement_P&amp;L'!$D$5:$K$5</c:f>
              <c:numCache>
                <c:formatCode>General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4-8543-8502-54F2A264A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7648"/>
        <c:axId val="148521728"/>
      </c:lineChart>
      <c:catAx>
        <c:axId val="14850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21728"/>
        <c:crosses val="autoZero"/>
        <c:auto val="1"/>
        <c:lblAlgn val="ctr"/>
        <c:lblOffset val="100"/>
        <c:noMultiLvlLbl val="0"/>
      </c:catAx>
      <c:valAx>
        <c:axId val="1485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850764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bg1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96691964269904E-2"/>
          <c:y val="5.1400554097404488E-2"/>
          <c:w val="0.74962279923632635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Balance!$C$22</c:f>
              <c:strCache>
                <c:ptCount val="1"/>
                <c:pt idx="0">
                  <c:v>Liquidity ratio 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Balance!$D$22:$J$22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CEF-0C4E-A21D-74F5F034FB49}"/>
            </c:ext>
          </c:extLst>
        </c:ser>
        <c:ser>
          <c:idx val="1"/>
          <c:order val="1"/>
          <c:tx>
            <c:strRef>
              <c:f>Balance!#REF!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Balance!$D$4:$J$4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Balance!#REF!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EF-0C4E-A21D-74F5F034F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515648"/>
        <c:axId val="149517440"/>
      </c:lineChart>
      <c:catAx>
        <c:axId val="1495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7440"/>
        <c:crosses val="autoZero"/>
        <c:auto val="1"/>
        <c:lblAlgn val="ctr"/>
        <c:lblOffset val="100"/>
        <c:noMultiLvlLbl val="0"/>
      </c:catAx>
      <c:valAx>
        <c:axId val="14951744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5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7260392528017"/>
          <c:y val="6.9444444444444503E-2"/>
          <c:w val="0.85741075508858922"/>
          <c:h val="0.79224482356372328"/>
        </c:manualLayout>
      </c:layout>
      <c:barChart>
        <c:barDir val="col"/>
        <c:grouping val="clustered"/>
        <c:varyColors val="0"/>
        <c:ser>
          <c:idx val="1"/>
          <c:order val="0"/>
          <c:tx>
            <c:v>REVENUE %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Statement_P&amp;L'!$E$6:$K$6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8-1E4C-8BB8-9B62B447432B}"/>
            </c:ext>
          </c:extLst>
        </c:ser>
        <c:ser>
          <c:idx val="0"/>
          <c:order val="1"/>
          <c:tx>
            <c:v>RECEIVABLES %</c:v>
          </c:tx>
          <c:spPr>
            <a:solidFill>
              <a:schemeClr val="accent3">
                <a:lumMod val="75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Balance!$E$32:$K$32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8-1E4C-8BB8-9B62B447432B}"/>
            </c:ext>
          </c:extLst>
        </c:ser>
        <c:ser>
          <c:idx val="2"/>
          <c:order val="2"/>
          <c:tx>
            <c:v>INVENTORIES %</c:v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Balance!$E$28:$K$28</c:f>
              <c:numCache>
                <c:formatCode>0.0%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78-1E4C-8BB8-9B62B447432B}"/>
            </c:ext>
          </c:extLst>
        </c:ser>
        <c:ser>
          <c:idx val="3"/>
          <c:order val="3"/>
          <c:tx>
            <c:strRef>
              <c:f>Balance!$C$40</c:f>
              <c:strCache>
                <c:ptCount val="1"/>
                <c:pt idx="0">
                  <c:v>Net debt/FCF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Balance!$E$26:$K$26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Balance!$E$40:$K$40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78-1E4C-8BB8-9B62B447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9707392"/>
        <c:axId val="149721472"/>
      </c:barChart>
      <c:catAx>
        <c:axId val="1497073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21472"/>
        <c:crosses val="autoZero"/>
        <c:auto val="1"/>
        <c:lblAlgn val="ctr"/>
        <c:lblOffset val="100"/>
        <c:noMultiLvlLbl val="0"/>
      </c:catAx>
      <c:valAx>
        <c:axId val="14972147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7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BD-1E40-8B96-CBA68589AB6C}"/>
            </c:ext>
          </c:extLst>
        </c:ser>
        <c:ser>
          <c:idx val="1"/>
          <c:order val="1"/>
          <c:tx>
            <c:strRef>
              <c:f>' Cash Flow'!#REF!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 Cash Flow'!$D$5:$J$5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</c:numCache>
            </c:numRef>
          </c:cat>
          <c:val>
            <c:numRef>
              <c:f>' Cash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EBD-1E40-8B96-CBA68589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56320"/>
        <c:axId val="149657856"/>
      </c:lineChart>
      <c:catAx>
        <c:axId val="14965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7856"/>
        <c:crosses val="autoZero"/>
        <c:auto val="1"/>
        <c:lblAlgn val="ctr"/>
        <c:lblOffset val="100"/>
        <c:noMultiLvlLbl val="0"/>
      </c:catAx>
      <c:valAx>
        <c:axId val="14965785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6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marker>
            <c:symbol val="none"/>
          </c:marker>
          <c:val>
            <c:numRef>
              <c:f>Valuation!$J$14:$O$14</c:f>
              <c:numCache>
                <c:formatCode>_-[$$-409]* #,##0.00_ ;_-[$$-409]* \-#,##0.00\ ;_-[$$-409]* "-"??_ ;_-@_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EF-D84A-A0EA-A3BA972B5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42464"/>
        <c:axId val="150944000"/>
      </c:lineChart>
      <c:catAx>
        <c:axId val="150942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44000"/>
        <c:crosses val="autoZero"/>
        <c:auto val="1"/>
        <c:lblAlgn val="ctr"/>
        <c:lblOffset val="100"/>
        <c:noMultiLvlLbl val="0"/>
      </c:catAx>
      <c:valAx>
        <c:axId val="150944000"/>
        <c:scaling>
          <c:orientation val="minMax"/>
        </c:scaling>
        <c:delete val="0"/>
        <c:axPos val="l"/>
        <c:numFmt formatCode="_-[$$-409]* #,##0.00_ ;_-[$$-409]* \-#,##0.00\ ;_-[$$-409]* &quot;-&quot;??_ ;_-@_ " sourceLinked="1"/>
        <c:majorTickMark val="out"/>
        <c:minorTickMark val="none"/>
        <c:tickLblPos val="nextTo"/>
        <c:crossAx val="150942464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Valuation!$I$23</c:f>
              <c:strCache>
                <c:ptCount val="1"/>
                <c:pt idx="0">
                  <c:v>PER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Valuation!$J$23:$O$23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5-F949-814F-A678E72F6BE4}"/>
            </c:ext>
          </c:extLst>
        </c:ser>
        <c:ser>
          <c:idx val="1"/>
          <c:order val="1"/>
          <c:tx>
            <c:strRef>
              <c:f>Valuation!$I$24</c:f>
              <c:strCache>
                <c:ptCount val="1"/>
                <c:pt idx="0">
                  <c:v>P/FCF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Valuation!$J$24:$O$24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135-F949-814F-A678E72F6BE4}"/>
            </c:ext>
          </c:extLst>
        </c:ser>
        <c:ser>
          <c:idx val="2"/>
          <c:order val="2"/>
          <c:tx>
            <c:strRef>
              <c:f>Valuation!$I$25</c:f>
              <c:strCache>
                <c:ptCount val="1"/>
                <c:pt idx="0">
                  <c:v>EV/EBIT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Valuation!$J$25:$O$25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135-F949-814F-A678E72F6BE4}"/>
            </c:ext>
          </c:extLst>
        </c:ser>
        <c:ser>
          <c:idx val="3"/>
          <c:order val="3"/>
          <c:tx>
            <c:strRef>
              <c:f>Valuation!$I$26</c:f>
              <c:strCache>
                <c:ptCount val="1"/>
                <c:pt idx="0">
                  <c:v>EV/EBITDA</c:v>
                </c:pt>
              </c:strCache>
            </c:strRef>
          </c:tx>
          <c:marker>
            <c:symbol val="none"/>
          </c:marker>
          <c:cat>
            <c:numRef>
              <c:f>Valuation!$J$22:$O$22</c:f>
              <c:numCache>
                <c:formatCode>0</c:formatCode>
                <c:ptCount val="6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</c:numCache>
            </c:numRef>
          </c:cat>
          <c:val>
            <c:numRef>
              <c:f>Valuation!$J$26:$O$26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135-F949-814F-A678E72F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70752"/>
        <c:axId val="150972288"/>
      </c:lineChart>
      <c:catAx>
        <c:axId val="150970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50972288"/>
        <c:crosses val="autoZero"/>
        <c:auto val="1"/>
        <c:lblAlgn val="ctr"/>
        <c:lblOffset val="100"/>
        <c:noMultiLvlLbl val="0"/>
      </c:catAx>
      <c:valAx>
        <c:axId val="1509722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crossAx val="15097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ORDER INTAKE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Ingeniería'!$C$10</c:f>
              <c:strCache>
                <c:ptCount val="1"/>
                <c:pt idx="0">
                  <c:v>Order Intake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Ingeniería'!$D$10:$K$10</c:f>
              <c:numCache>
                <c:formatCode>0.00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56736"/>
        <c:axId val="150774912"/>
      </c:barChart>
      <c:lineChart>
        <c:grouping val="standard"/>
        <c:varyColors val="0"/>
        <c:ser>
          <c:idx val="1"/>
          <c:order val="1"/>
          <c:tx>
            <c:strRef>
              <c:f>'6. Ingeniería'!$O$2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('6. Ingeniería'!$P$10,'6. Ingeniería'!$R$8,'6. Ingeniería'!$R$9,'6. Ingeniería'!$R$10,'6. Ingeniería'!$R$11,'6. Ingeniería'!$R$12,'6. Ingeniería'!$R$13,'6. Ingeniería'!$R$14)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37-1A4F-875C-DECB131F8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56736"/>
        <c:axId val="150774912"/>
      </c:lineChart>
      <c:catAx>
        <c:axId val="15075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74912"/>
        <c:crosses val="autoZero"/>
        <c:auto val="1"/>
        <c:lblAlgn val="ctr"/>
        <c:lblOffset val="100"/>
        <c:noMultiLvlLbl val="0"/>
      </c:catAx>
      <c:valAx>
        <c:axId val="15077491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75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'6. Ingeniería'!$C$8</c:f>
              <c:strCache>
                <c:ptCount val="1"/>
                <c:pt idx="0">
                  <c:v>Revenues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'6. Ingeniería'!$D$2:$K$2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'6. Ingeniería'!$D$8:$K$8</c:f>
              <c:numCache>
                <c:formatCode>0.00</c:formatCode>
                <c:ptCount val="8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A7A-0243-A12B-43E29057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807296"/>
        <c:axId val="150808832"/>
      </c:lineChart>
      <c:catAx>
        <c:axId val="15080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8832"/>
        <c:crosses val="autoZero"/>
        <c:auto val="1"/>
        <c:lblAlgn val="ctr"/>
        <c:lblOffset val="100"/>
        <c:noMultiLvlLbl val="0"/>
      </c:catAx>
      <c:valAx>
        <c:axId val="15080883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80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3681-0F42-AD42-42BE99EB9B7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81-0F42-AD42-42BE99EB9B7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681-0F42-AD42-42BE99EB9B7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81-0F42-AD42-42BE99EB9B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'6. Ingeniería'!$C$3:$C$6</c:f>
              <c:strCache>
                <c:ptCount val="4"/>
                <c:pt idx="0">
                  <c:v>EUROPE</c:v>
                </c:pt>
                <c:pt idx="1">
                  <c:v>LATAM</c:v>
                </c:pt>
                <c:pt idx="2">
                  <c:v>MIDDLE EAST</c:v>
                </c:pt>
                <c:pt idx="3">
                  <c:v>RoW</c:v>
                </c:pt>
              </c:strCache>
            </c:strRef>
          </c:cat>
          <c:val>
            <c:numRef>
              <c:f>'6. Ingeniería'!$K$3:$K$6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4-3681-0F42-AD42-42BE99EB9B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'Income Statement_P&amp;L'!$C$14</c:f>
              <c:strCache>
                <c:ptCount val="1"/>
                <c:pt idx="0">
                  <c:v>EBIT growth %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Statement_P&amp;L'!$D$14:$K$14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4-EB42-BDFE-D95A5EFFE777}"/>
            </c:ext>
          </c:extLst>
        </c:ser>
        <c:ser>
          <c:idx val="2"/>
          <c:order val="1"/>
          <c:tx>
            <c:strRef>
              <c:f>'Income Statement_P&amp;L'!$C$6</c:f>
              <c:strCache>
                <c:ptCount val="1"/>
                <c:pt idx="0">
                  <c:v>Sales Growth %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Statement_P&amp;L'!$D$6:$K$6</c:f>
              <c:numCache>
                <c:formatCode>0%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C04-EB42-BDFE-D95A5EFFE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54496"/>
        <c:axId val="148556032"/>
      </c:lineChart>
      <c:catAx>
        <c:axId val="1485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6032"/>
        <c:crosses val="autoZero"/>
        <c:auto val="1"/>
        <c:lblAlgn val="ctr"/>
        <c:lblOffset val="100"/>
        <c:noMultiLvlLbl val="0"/>
      </c:catAx>
      <c:valAx>
        <c:axId val="14855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8554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31648"/>
        <c:axId val="149113472"/>
      </c:barChart>
      <c:lineChart>
        <c:grouping val="stacked"/>
        <c:varyColors val="0"/>
        <c:ser>
          <c:idx val="0"/>
          <c:order val="0"/>
          <c:tx>
            <c:strRef>
              <c:f>'Income Statement_P&amp;L'!$C$8</c:f>
              <c:strCache>
                <c:ptCount val="1"/>
                <c:pt idx="0">
                  <c:v>Gross Margin %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Statement_P&amp;L'!$D$8:$K$8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A8-C244-BDCD-718EE920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11936"/>
        <c:axId val="149110144"/>
      </c:lineChart>
      <c:valAx>
        <c:axId val="14911014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11936"/>
        <c:crosses val="max"/>
        <c:crossBetween val="between"/>
      </c:valAx>
      <c:catAx>
        <c:axId val="14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0144"/>
        <c:crosses val="autoZero"/>
        <c:auto val="1"/>
        <c:lblAlgn val="ctr"/>
        <c:lblOffset val="100"/>
        <c:noMultiLvlLbl val="0"/>
      </c:catAx>
      <c:valAx>
        <c:axId val="149113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131648"/>
        <c:crosses val="autoZero"/>
        <c:crossBetween val="between"/>
      </c:valAx>
      <c:catAx>
        <c:axId val="14913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1134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93963254594112E-2"/>
          <c:y val="4.6770924467774859E-2"/>
          <c:w val="0.9115393700787402"/>
          <c:h val="0.7211245990084576"/>
        </c:manualLayout>
      </c:layout>
      <c:lineChart>
        <c:grouping val="standard"/>
        <c:varyColors val="0"/>
        <c:ser>
          <c:idx val="3"/>
          <c:order val="0"/>
          <c:tx>
            <c:strRef>
              <c:f>' Cash Flow'!$C$11</c:f>
              <c:strCache>
                <c:ptCount val="1"/>
                <c:pt idx="0">
                  <c:v>Free cash flow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 Cash Flow'!$D$11:$J$11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-[$$-409]* #,##0.000_ ;_-[$$-409]* \-#,##0.000\ ;_-[$$-409]* &quot;-&quot;??_ ;_-@_ 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EB-4B43-AFC3-DBC73F98B9C3}"/>
            </c:ext>
          </c:extLst>
        </c:ser>
        <c:ser>
          <c:idx val="1"/>
          <c:order val="2"/>
          <c:tx>
            <c:strRef>
              <c:f>'Income Statement_P&amp;L'!$C$12</c:f>
              <c:strCache>
                <c:ptCount val="1"/>
                <c:pt idx="0">
                  <c:v>EBIT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Statement_P&amp;L'!$E$12:$K$12</c:f>
              <c:numCache>
                <c:formatCode>0.00_ ;[Red]\-0.00\ </c:formatCode>
                <c:ptCount val="7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DEB-4B43-AFC3-DBC73F98B9C3}"/>
            </c:ext>
          </c:extLst>
        </c:ser>
        <c:ser>
          <c:idx val="2"/>
          <c:order val="3"/>
          <c:tx>
            <c:strRef>
              <c:f>'Income Statement_P&amp;L'!$C$22</c:f>
              <c:strCache>
                <c:ptCount val="1"/>
                <c:pt idx="0">
                  <c:v>NET INCOME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Statement_P&amp;L'!$E$22:$K$22</c:f>
              <c:numCache>
                <c:formatCode>_-[$$-409]* #,##0.00_ ;_-[$$-409]* \-#,##0.00\ ;_-[$$-409]* "-"??_ ;_-@_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36736"/>
        <c:axId val="149250816"/>
      </c:lineChart>
      <c:lineChart>
        <c:grouping val="standard"/>
        <c:varyColors val="0"/>
        <c:ser>
          <c:idx val="0"/>
          <c:order val="1"/>
          <c:tx>
            <c:strRef>
              <c:f>'Income Statement_P&amp;L'!$C$5</c:f>
              <c:strCache>
                <c:ptCount val="1"/>
                <c:pt idx="0">
                  <c:v>REVENUE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'Income Statement_P&amp;L'!$E$3:$K$3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'Income Statement_P&amp;L'!$E$5:$K$5</c:f>
              <c:numCache>
                <c:formatCode>General</c:formatCode>
                <c:ptCount val="7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5DEB-4B43-AFC3-DBC73F98B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54144"/>
        <c:axId val="149252352"/>
      </c:lineChart>
      <c:catAx>
        <c:axId val="1492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250816"/>
        <c:crosses val="autoZero"/>
        <c:auto val="1"/>
        <c:lblAlgn val="ctr"/>
        <c:lblOffset val="100"/>
        <c:noMultiLvlLbl val="0"/>
      </c:catAx>
      <c:valAx>
        <c:axId val="1492508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36736"/>
        <c:crosses val="autoZero"/>
        <c:crossBetween val="between"/>
      </c:valAx>
      <c:valAx>
        <c:axId val="1492523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54144"/>
        <c:crosses val="max"/>
        <c:crossBetween val="between"/>
      </c:valAx>
      <c:catAx>
        <c:axId val="149254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2523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8258967629244E-2"/>
          <c:y val="7.4490740740741412E-2"/>
          <c:w val="0.88498840769903764"/>
          <c:h val="0.720887649460489"/>
        </c:manualLayout>
      </c:layout>
      <c:lineChart>
        <c:grouping val="standard"/>
        <c:varyColors val="0"/>
        <c:ser>
          <c:idx val="0"/>
          <c:order val="0"/>
          <c:tx>
            <c:strRef>
              <c:f>'Income Statement_P&amp;L'!$C$13</c:f>
              <c:strCache>
                <c:ptCount val="1"/>
                <c:pt idx="0">
                  <c:v>EBIT margin 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Statement_P&amp;L'!$D$13:$K$13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0%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DE2-3545-A180-DF1073131C19}"/>
            </c:ext>
          </c:extLst>
        </c:ser>
        <c:ser>
          <c:idx val="1"/>
          <c:order val="1"/>
          <c:tx>
            <c:strRef>
              <c:f>'Income Statement_P&amp;L'!$C$23</c:f>
              <c:strCache>
                <c:ptCount val="1"/>
                <c:pt idx="0">
                  <c:v>Net margin %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'Income Statement_P&amp;L'!$D$3:$K$3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Statement_P&amp;L'!$D$23:$K$23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DE2-3545-A180-DF1073131C19}"/>
            </c:ext>
          </c:extLst>
        </c:ser>
        <c:ser>
          <c:idx val="2"/>
          <c:order val="2"/>
          <c:tx>
            <c:strRef>
              <c:f>'Income Statement_P&amp;L'!$G$78</c:f>
              <c:strCache>
                <c:ptCount val="1"/>
                <c:pt idx="0">
                  <c:v>Margen EBIT Promedio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'Income Statement_P&amp;L'!$I$78:$P$78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E2-3545-A180-DF1073131C19}"/>
            </c:ext>
          </c:extLst>
        </c:ser>
        <c:ser>
          <c:idx val="3"/>
          <c:order val="3"/>
          <c:tx>
            <c:strRef>
              <c:f>'Income Statement_P&amp;L'!$G$79</c:f>
              <c:strCache>
                <c:ptCount val="1"/>
                <c:pt idx="0">
                  <c:v>Net Margin Promedio</c:v>
                </c:pt>
              </c:strCache>
            </c:strRef>
          </c:tx>
          <c:spPr>
            <a:ln w="952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'Income Statement_P&amp;L'!$I$79:$P$79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E2-3545-A180-DF1073131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280256"/>
        <c:axId val="149281792"/>
      </c:lineChart>
      <c:catAx>
        <c:axId val="1492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1792"/>
        <c:crosses val="autoZero"/>
        <c:auto val="1"/>
        <c:lblAlgn val="ctr"/>
        <c:lblOffset val="100"/>
        <c:noMultiLvlLbl val="0"/>
      </c:catAx>
      <c:valAx>
        <c:axId val="1492817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92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5048118985126"/>
          <c:y val="4.6296296296296523E-2"/>
          <c:w val="0.53888888888888964"/>
          <c:h val="0.89814814814814814"/>
        </c:manualLayout>
      </c:layout>
      <c:pieChart>
        <c:varyColors val="1"/>
        <c:ser>
          <c:idx val="0"/>
          <c:order val="0"/>
          <c:cat>
            <c:strRef>
              <c:f>'Income Statement_P&amp;L'!$L$95:$L$98</c:f>
              <c:strCache>
                <c:ptCount val="4"/>
                <c:pt idx="0">
                  <c:v>EMEA</c:v>
                </c:pt>
                <c:pt idx="1">
                  <c:v>APAC</c:v>
                </c:pt>
                <c:pt idx="2">
                  <c:v>LATAM</c:v>
                </c:pt>
                <c:pt idx="3">
                  <c:v>NA</c:v>
                </c:pt>
              </c:strCache>
            </c:strRef>
          </c:cat>
          <c:val>
            <c:numRef>
              <c:f>'Income Statement_P&amp;L'!$M$95:$M$98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8-BA4A-BC22-5A24135F0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08698742460522E-2"/>
          <c:y val="3.7511665208515642E-2"/>
          <c:w val="0.68556414563156676"/>
          <c:h val="0.8326195683872849"/>
        </c:manualLayout>
      </c:layout>
      <c:lineChart>
        <c:grouping val="stacked"/>
        <c:varyColors val="0"/>
        <c:ser>
          <c:idx val="1"/>
          <c:order val="1"/>
          <c:tx>
            <c:strRef>
              <c:f>'Income Statement_P&amp;L'!$E$102</c:f>
              <c:strCache>
                <c:ptCount val="1"/>
                <c:pt idx="0">
                  <c:v>Sales Growth %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Statement_P&amp;L'!$E$103:$L$103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92928"/>
        <c:axId val="149294464"/>
      </c:lineChart>
      <c:lineChart>
        <c:grouping val="stacked"/>
        <c:varyColors val="0"/>
        <c:ser>
          <c:idx val="0"/>
          <c:order val="0"/>
          <c:tx>
            <c:strRef>
              <c:f>'Income Statement_P&amp;L'!$E$100</c:f>
              <c:strCache>
                <c:ptCount val="1"/>
                <c:pt idx="0">
                  <c:v>COGS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'Income Statement_P&amp;L'!$D$94:$K$94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'Income Statement_P&amp;L'!$E$101:$L$101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039-1C49-A52E-2B95BF11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05984"/>
        <c:axId val="149304448"/>
      </c:lineChart>
      <c:catAx>
        <c:axId val="1492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noMultiLvlLbl val="0"/>
      </c:catAx>
      <c:valAx>
        <c:axId val="149294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292928"/>
        <c:crosses val="autoZero"/>
        <c:crossBetween val="between"/>
      </c:valAx>
      <c:valAx>
        <c:axId val="149304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05984"/>
        <c:crosses val="max"/>
        <c:crossBetween val="between"/>
      </c:valAx>
      <c:catAx>
        <c:axId val="1493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93044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25-5048-96C8-752228677870}"/>
            </c:ext>
          </c:extLst>
        </c:ser>
        <c:ser>
          <c:idx val="1"/>
          <c:order val="1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25-5048-96C8-752228677870}"/>
            </c:ext>
          </c:extLst>
        </c:ser>
        <c:ser>
          <c:idx val="2"/>
          <c:order val="2"/>
          <c:marker>
            <c:symbol val="none"/>
          </c:marker>
          <c:val>
            <c:numRef>
              <c:f>'1.Cuenta P&amp;G'!#REF!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'1.Cuenta P&amp;G'!#REF!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7B25-5048-96C8-75222867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23136"/>
        <c:axId val="149333120"/>
      </c:lineChart>
      <c:catAx>
        <c:axId val="1493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33120"/>
        <c:crosses val="autoZero"/>
        <c:auto val="1"/>
        <c:lblAlgn val="ctr"/>
        <c:lblOffset val="100"/>
        <c:noMultiLvlLbl val="0"/>
      </c:catAx>
      <c:valAx>
        <c:axId val="14933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49323136"/>
        <c:crosses val="autoZero"/>
        <c:crossBetween val="between"/>
      </c:valAx>
      <c:spPr>
        <a:noFill/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30228248932725E-2"/>
          <c:y val="2.40730559567628E-2"/>
          <c:w val="0.8851345455021985"/>
          <c:h val="0.68030781655252026"/>
        </c:manualLayout>
      </c:layout>
      <c:lineChart>
        <c:grouping val="standard"/>
        <c:varyColors val="0"/>
        <c:ser>
          <c:idx val="0"/>
          <c:order val="0"/>
          <c:tx>
            <c:strRef>
              <c:f>Balance!$C$19</c:f>
              <c:strCache>
                <c:ptCount val="1"/>
                <c:pt idx="0">
                  <c:v>ROE ( net income / equity 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Balance!$D$19:$O$19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126B-674A-BB69-0EB8FA5FA3E0}"/>
            </c:ext>
          </c:extLst>
        </c:ser>
        <c:ser>
          <c:idx val="1"/>
          <c:order val="1"/>
          <c:tx>
            <c:strRef>
              <c:f>Balance!$C$20</c:f>
              <c:strCache>
                <c:ptCount val="1"/>
                <c:pt idx="0">
                  <c:v>ROCE (EBIT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Balance!$D$20:$O$20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126B-674A-BB69-0EB8FA5FA3E0}"/>
            </c:ext>
          </c:extLst>
        </c:ser>
        <c:ser>
          <c:idx val="2"/>
          <c:order val="2"/>
          <c:tx>
            <c:strRef>
              <c:f>Balance!$C$21</c:f>
              <c:strCache>
                <c:ptCount val="1"/>
                <c:pt idx="0">
                  <c:v>ROCE goodwill( EBIT / Capital empleado)</c:v>
                </c:pt>
              </c:strCache>
            </c:strRef>
          </c:tx>
          <c:marker>
            <c:symbol val="none"/>
          </c:marker>
          <c:dPt>
            <c:idx val="7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C-126B-674A-BB69-0EB8FA5FA3E0}"/>
              </c:ext>
            </c:extLst>
          </c:dPt>
          <c:dPt>
            <c:idx val="8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26B-674A-BB69-0EB8FA5FA3E0}"/>
              </c:ext>
            </c:extLst>
          </c:dPt>
          <c:dPt>
            <c:idx val="9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E-126B-674A-BB69-0EB8FA5FA3E0}"/>
              </c:ext>
            </c:extLst>
          </c:dPt>
          <c:dPt>
            <c:idx val="10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F-126B-674A-BB69-0EB8FA5FA3E0}"/>
              </c:ext>
            </c:extLst>
          </c:dPt>
          <c:dPt>
            <c:idx val="11"/>
            <c:bubble3D val="0"/>
            <c:spPr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126B-674A-BB69-0EB8FA5FA3E0}"/>
              </c:ext>
            </c:extLst>
          </c:dPt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Balance!$D$21:$O$21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126B-674A-BB69-0EB8FA5FA3E0}"/>
            </c:ext>
          </c:extLst>
        </c:ser>
        <c:ser>
          <c:idx val="3"/>
          <c:order val="3"/>
          <c:tx>
            <c:strRef>
              <c:f>Balance!$L$44</c:f>
              <c:strCache>
                <c:ptCount val="1"/>
              </c:strCache>
            </c:strRef>
          </c:tx>
          <c:spPr>
            <a:ln w="12700">
              <a:prstDash val="sysDot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Balance!$O$33:$Z$33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 formatCode="0.00%">
                  <c:v>0</c:v>
                </c:pt>
                <c:pt idx="3" formatCode="0.00%">
                  <c:v>0</c:v>
                </c:pt>
                <c:pt idx="4" formatCode="0.00%">
                  <c:v>0</c:v>
                </c:pt>
                <c:pt idx="5" formatCode="0.00%">
                  <c:v>0</c:v>
                </c:pt>
                <c:pt idx="6" formatCode="0.00%">
                  <c:v>0</c:v>
                </c:pt>
                <c:pt idx="7" formatCode="0.00%">
                  <c:v>0</c:v>
                </c:pt>
                <c:pt idx="8" formatCode="0.00%">
                  <c:v>0</c:v>
                </c:pt>
                <c:pt idx="9" formatCode="0.00%">
                  <c:v>0</c:v>
                </c:pt>
                <c:pt idx="10" formatCode="0.00%">
                  <c:v>0</c:v>
                </c:pt>
                <c:pt idx="11" formatCode="0.00%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26B-674A-BB69-0EB8FA5FA3E0}"/>
            </c:ext>
          </c:extLst>
        </c:ser>
        <c:ser>
          <c:idx val="4"/>
          <c:order val="4"/>
          <c:tx>
            <c:strRef>
              <c:f>Balance!$L$45</c:f>
              <c:strCache>
                <c:ptCount val="1"/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Balance!$D$4:$O$4</c:f>
              <c:numCache>
                <c:formatCode>0</c:formatCode>
                <c:ptCount val="12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  <c:pt idx="10" formatCode="General">
                  <c:v>2025</c:v>
                </c:pt>
                <c:pt idx="11" formatCode="General">
                  <c:v>2026</c:v>
                </c:pt>
              </c:numCache>
            </c:numRef>
          </c:cat>
          <c:val>
            <c:numRef>
              <c:f>Balance!$O$34:$Z$34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 formatCode="0.00%">
                  <c:v>0</c:v>
                </c:pt>
                <c:pt idx="3" formatCode="0.00%">
                  <c:v>0</c:v>
                </c:pt>
                <c:pt idx="4" formatCode="0.00%">
                  <c:v>0</c:v>
                </c:pt>
                <c:pt idx="5" formatCode="0.00%">
                  <c:v>0</c:v>
                </c:pt>
                <c:pt idx="6" formatCode="0.00%">
                  <c:v>0</c:v>
                </c:pt>
                <c:pt idx="7" formatCode="0.00%">
                  <c:v>0</c:v>
                </c:pt>
                <c:pt idx="8" formatCode="0.00%">
                  <c:v>0</c:v>
                </c:pt>
                <c:pt idx="9" formatCode="0.00%">
                  <c:v>0</c:v>
                </c:pt>
                <c:pt idx="10" formatCode="0.00%">
                  <c:v>0</c:v>
                </c:pt>
                <c:pt idx="11" formatCode="0.00%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26B-674A-BB69-0EB8FA5F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382656"/>
        <c:axId val="149384192"/>
      </c:lineChart>
      <c:catAx>
        <c:axId val="149382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4192"/>
        <c:crosses val="autoZero"/>
        <c:auto val="1"/>
        <c:lblAlgn val="ctr"/>
        <c:lblOffset val="100"/>
        <c:noMultiLvlLbl val="0"/>
      </c:catAx>
      <c:valAx>
        <c:axId val="14938419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/>
                </a:solidFill>
              </a:defRPr>
            </a:pPr>
            <a:endParaRPr lang="es-ES"/>
          </a:p>
        </c:txPr>
        <c:crossAx val="14938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CheckBox" checked="Checked" fmlaLink="#REF!" lockText="1" noThreeD="1"/>
</file>

<file path=xl/ctrlProps/ctrlProp2.xml><?xml version="1.0" encoding="utf-8"?>
<formControlPr xmlns="http://schemas.microsoft.com/office/spreadsheetml/2009/9/main" objectType="CheckBox" checked="Checked" fmlaLink="$R$26" lockText="1" noThreeD="1"/>
</file>

<file path=xl/ctrlProps/ctrlProp3.xml><?xml version="1.0" encoding="utf-8"?>
<formControlPr xmlns="http://schemas.microsoft.com/office/spreadsheetml/2009/9/main" objectType="Drop" dropStyle="combo" dx="15" fmlaLink="$D$100" fmlaRange="$C$5:$C$23" noThreeD="1" sel="3" val="0"/>
</file>

<file path=xl/ctrlProps/ctrlProp4.xml><?xml version="1.0" encoding="utf-8"?>
<formControlPr xmlns="http://schemas.microsoft.com/office/spreadsheetml/2009/9/main" objectType="Drop" dropStyle="combo" dx="15" fmlaLink="$D$102" fmlaRange="$C$5:$C$23" noThreeD="1" sel="2" val="0"/>
</file>

<file path=xl/ctrlProps/ctrlProp5.xml><?xml version="1.0" encoding="utf-8"?>
<formControlPr xmlns="http://schemas.microsoft.com/office/spreadsheetml/2009/9/main" objectType="Drop" dropStyle="combo" dx="15" fmlaLink="$L$94" fmlaRange="$N$94:$N$101" noThreeD="1" sel="8" val="0"/>
</file>

<file path=xl/ctrlProps/ctrlProp6.xml><?xml version="1.0" encoding="utf-8"?>
<formControlPr xmlns="http://schemas.microsoft.com/office/spreadsheetml/2009/9/main" objectType="CheckBox" checked="Checked" fmlaLink="$M$20" lockText="1" noThreeD="1"/>
</file>

<file path=xl/ctrlProps/ctrlProp7.xml><?xml version="1.0" encoding="utf-8"?>
<formControlPr xmlns="http://schemas.microsoft.com/office/spreadsheetml/2009/9/main" objectType="CheckBox" fmlaLink="$Q$22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40</xdr:row>
      <xdr:rowOff>51435</xdr:rowOff>
    </xdr:from>
    <xdr:to>
      <xdr:col>6</xdr:col>
      <xdr:colOff>449581</xdr:colOff>
      <xdr:row>55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186689</xdr:colOff>
      <xdr:row>40</xdr:row>
      <xdr:rowOff>137159</xdr:rowOff>
    </xdr:from>
    <xdr:to>
      <xdr:col>13</xdr:col>
      <xdr:colOff>158115</xdr:colOff>
      <xdr:row>57</xdr:row>
      <xdr:rowOff>20954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56</xdr:row>
      <xdr:rowOff>87630</xdr:rowOff>
    </xdr:from>
    <xdr:to>
      <xdr:col>6</xdr:col>
      <xdr:colOff>358140</xdr:colOff>
      <xdr:row>71</xdr:row>
      <xdr:rowOff>125730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220979</xdr:colOff>
      <xdr:row>56</xdr:row>
      <xdr:rowOff>110490</xdr:rowOff>
    </xdr:from>
    <xdr:to>
      <xdr:col>13</xdr:col>
      <xdr:colOff>192405</xdr:colOff>
      <xdr:row>72</xdr:row>
      <xdr:rowOff>3810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114300</xdr:colOff>
      <xdr:row>74</xdr:row>
      <xdr:rowOff>11430</xdr:rowOff>
    </xdr:from>
    <xdr:to>
      <xdr:col>7</xdr:col>
      <xdr:colOff>662940</xdr:colOff>
      <xdr:row>91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121920</xdr:colOff>
      <xdr:row>72</xdr:row>
      <xdr:rowOff>19050</xdr:rowOff>
    </xdr:from>
    <xdr:to>
      <xdr:col>14</xdr:col>
      <xdr:colOff>266700</xdr:colOff>
      <xdr:row>88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333374</xdr:colOff>
      <xdr:row>98</xdr:row>
      <xdr:rowOff>123825</xdr:rowOff>
    </xdr:from>
    <xdr:to>
      <xdr:col>11</xdr:col>
      <xdr:colOff>352424</xdr:colOff>
      <xdr:row>113</xdr:row>
      <xdr:rowOff>9525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9524</xdr:colOff>
      <xdr:row>32</xdr:row>
      <xdr:rowOff>190501</xdr:rowOff>
    </xdr:from>
    <xdr:to>
      <xdr:col>16</xdr:col>
      <xdr:colOff>1209674</xdr:colOff>
      <xdr:row>33</xdr:row>
      <xdr:rowOff>38100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723900</xdr:colOff>
          <xdr:row>27</xdr:row>
          <xdr:rowOff>12700</xdr:rowOff>
        </xdr:from>
        <xdr:to>
          <xdr:col>12</xdr:col>
          <xdr:colOff>101600</xdr:colOff>
          <xdr:row>28</xdr:row>
          <xdr:rowOff>38100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736600</xdr:colOff>
          <xdr:row>26</xdr:row>
          <xdr:rowOff>25400</xdr:rowOff>
        </xdr:from>
        <xdr:to>
          <xdr:col>12</xdr:col>
          <xdr:colOff>114300</xdr:colOff>
          <xdr:row>27</xdr:row>
          <xdr:rowOff>12700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584200</xdr:colOff>
          <xdr:row>100</xdr:row>
          <xdr:rowOff>0</xdr:rowOff>
        </xdr:from>
        <xdr:to>
          <xdr:col>3</xdr:col>
          <xdr:colOff>0</xdr:colOff>
          <xdr:row>101</xdr:row>
          <xdr:rowOff>12700</xdr:rowOff>
        </xdr:to>
        <xdr:sp macro="" textlink="">
          <xdr:nvSpPr>
            <xdr:cNvPr id="6150" name="Drop Dow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596900</xdr:colOff>
          <xdr:row>102</xdr:row>
          <xdr:rowOff>25400</xdr:rowOff>
        </xdr:from>
        <xdr:to>
          <xdr:col>3</xdr:col>
          <xdr:colOff>0</xdr:colOff>
          <xdr:row>103</xdr:row>
          <xdr:rowOff>38100</xdr:rowOff>
        </xdr:to>
        <xdr:sp macro="" textlink="">
          <xdr:nvSpPr>
            <xdr:cNvPr id="6151" name="Drop Dow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330200</xdr:colOff>
          <xdr:row>78</xdr:row>
          <xdr:rowOff>38100</xdr:rowOff>
        </xdr:from>
        <xdr:to>
          <xdr:col>16</xdr:col>
          <xdr:colOff>1003300</xdr:colOff>
          <xdr:row>79</xdr:row>
          <xdr:rowOff>76200</xdr:rowOff>
        </xdr:to>
        <xdr:sp macro="" textlink="">
          <xdr:nvSpPr>
            <xdr:cNvPr id="6152" name="Drop Dow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243714</xdr:colOff>
      <xdr:row>1</xdr:row>
      <xdr:rowOff>50800</xdr:rowOff>
    </xdr:from>
    <xdr:to>
      <xdr:col>2</xdr:col>
      <xdr:colOff>1859565</xdr:colOff>
      <xdr:row>1</xdr:row>
      <xdr:rowOff>1181100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814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520064</xdr:colOff>
      <xdr:row>42</xdr:row>
      <xdr:rowOff>83820</xdr:rowOff>
    </xdr:from>
    <xdr:to>
      <xdr:col>9</xdr:col>
      <xdr:colOff>81915</xdr:colOff>
      <xdr:row>59</xdr:row>
      <xdr:rowOff>198120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13334</xdr:colOff>
      <xdr:row>62</xdr:row>
      <xdr:rowOff>38100</xdr:rowOff>
    </xdr:from>
    <xdr:to>
      <xdr:col>7</xdr:col>
      <xdr:colOff>329565</xdr:colOff>
      <xdr:row>75</xdr:row>
      <xdr:rowOff>179070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59</xdr:row>
      <xdr:rowOff>144780</xdr:rowOff>
    </xdr:from>
    <xdr:to>
      <xdr:col>18</xdr:col>
      <xdr:colOff>504825</xdr:colOff>
      <xdr:row>75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</xdr:col>
      <xdr:colOff>635000</xdr:colOff>
      <xdr:row>1</xdr:row>
      <xdr:rowOff>50800</xdr:rowOff>
    </xdr:from>
    <xdr:to>
      <xdr:col>2</xdr:col>
      <xdr:colOff>2250851</xdr:colOff>
      <xdr:row>1</xdr:row>
      <xdr:rowOff>1181100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87500" y="254000"/>
          <a:ext cx="1615851" cy="1130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27</xdr:row>
      <xdr:rowOff>85725</xdr:rowOff>
    </xdr:from>
    <xdr:to>
      <xdr:col>8</xdr:col>
      <xdr:colOff>561975</xdr:colOff>
      <xdr:row>41</xdr:row>
      <xdr:rowOff>28575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762000</xdr:colOff>
      <xdr:row>2</xdr:row>
      <xdr:rowOff>103908</xdr:rowOff>
    </xdr:from>
    <xdr:to>
      <xdr:col>2</xdr:col>
      <xdr:colOff>2214452</xdr:colOff>
      <xdr:row>2</xdr:row>
      <xdr:rowOff>1119909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4909" y="507999"/>
          <a:ext cx="1452452" cy="10160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19</xdr:row>
      <xdr:rowOff>33337</xdr:rowOff>
    </xdr:from>
    <xdr:to>
      <xdr:col>5</xdr:col>
      <xdr:colOff>476250</xdr:colOff>
      <xdr:row>33</xdr:row>
      <xdr:rowOff>100012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123825</xdr:rowOff>
    </xdr:from>
    <xdr:to>
      <xdr:col>5</xdr:col>
      <xdr:colOff>485775</xdr:colOff>
      <xdr:row>48</xdr:row>
      <xdr:rowOff>9525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16</xdr:row>
          <xdr:rowOff>63500</xdr:rowOff>
        </xdr:from>
        <xdr:to>
          <xdr:col>12</xdr:col>
          <xdr:colOff>114300</xdr:colOff>
          <xdr:row>18</xdr:row>
          <xdr:rowOff>139700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s-ES_tradnl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673100</xdr:colOff>
          <xdr:row>17</xdr:row>
          <xdr:rowOff>317500</xdr:rowOff>
        </xdr:from>
        <xdr:to>
          <xdr:col>12</xdr:col>
          <xdr:colOff>0</xdr:colOff>
          <xdr:row>19</xdr:row>
          <xdr:rowOff>12700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584200</xdr:colOff>
      <xdr:row>2</xdr:row>
      <xdr:rowOff>127000</xdr:rowOff>
    </xdr:from>
    <xdr:to>
      <xdr:col>2</xdr:col>
      <xdr:colOff>2036652</xdr:colOff>
      <xdr:row>2</xdr:row>
      <xdr:rowOff>1143001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520700"/>
          <a:ext cx="1452452" cy="10160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28</xdr:row>
      <xdr:rowOff>30480</xdr:rowOff>
    </xdr:from>
    <xdr:to>
      <xdr:col>11</xdr:col>
      <xdr:colOff>30480</xdr:colOff>
      <xdr:row>40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708660</xdr:colOff>
      <xdr:row>40</xdr:row>
      <xdr:rowOff>68580</xdr:rowOff>
    </xdr:from>
    <xdr:to>
      <xdr:col>11</xdr:col>
      <xdr:colOff>53340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60960</xdr:rowOff>
    </xdr:from>
    <xdr:to>
      <xdr:col>5</xdr:col>
      <xdr:colOff>579120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103"/>
  <sheetViews>
    <sheetView showGridLines="0" tabSelected="1" zoomScaleNormal="100" workbookViewId="0">
      <pane ySplit="3" topLeftCell="A4" activePane="bottomLeft" state="frozen"/>
      <selection pane="bottomLeft" activeCell="M2" sqref="M2"/>
    </sheetView>
  </sheetViews>
  <sheetFormatPr baseColWidth="10" defaultColWidth="11.5" defaultRowHeight="15" outlineLevelRow="1" x14ac:dyDescent="0.2"/>
  <cols>
    <col min="1" max="1" width="3.5" style="48" customWidth="1"/>
    <col min="2" max="2" width="5.33203125" style="48" customWidth="1"/>
    <col min="3" max="3" width="27.33203125" style="48" customWidth="1"/>
    <col min="4" max="9" width="11.5" style="48"/>
    <col min="10" max="10" width="12.5" style="48" customWidth="1"/>
    <col min="11" max="11" width="14.83203125" style="48" bestFit="1" customWidth="1"/>
    <col min="12" max="16" width="11.5" style="48"/>
    <col min="17" max="17" width="18.5" style="48" customWidth="1"/>
    <col min="18" max="18" width="8.33203125" style="48" customWidth="1"/>
    <col min="19" max="16384" width="11.5" style="48"/>
  </cols>
  <sheetData>
    <row r="1" spans="3:18" ht="16" thickBot="1" x14ac:dyDescent="0.25"/>
    <row r="2" spans="3:18" ht="97" customHeight="1" thickBot="1" x14ac:dyDescent="0.25">
      <c r="C2" s="356"/>
      <c r="D2" s="640" t="s">
        <v>185</v>
      </c>
      <c r="E2" s="641"/>
      <c r="F2" s="641"/>
      <c r="G2" s="641"/>
      <c r="H2" s="641"/>
      <c r="I2" s="641"/>
      <c r="J2" s="641"/>
      <c r="K2" s="642"/>
    </row>
    <row r="3" spans="3:18" ht="17" thickBot="1" x14ac:dyDescent="0.25">
      <c r="C3" s="548"/>
      <c r="D3" s="360">
        <v>2014</v>
      </c>
      <c r="E3" s="361">
        <f>D3+1</f>
        <v>2015</v>
      </c>
      <c r="F3" s="361">
        <f t="shared" ref="F3:P3" si="0">E3+1</f>
        <v>2016</v>
      </c>
      <c r="G3" s="361">
        <f>F3+1</f>
        <v>2017</v>
      </c>
      <c r="H3" s="361">
        <f t="shared" si="0"/>
        <v>2018</v>
      </c>
      <c r="I3" s="361">
        <f t="shared" si="0"/>
        <v>2019</v>
      </c>
      <c r="J3" s="361">
        <f t="shared" si="0"/>
        <v>2020</v>
      </c>
      <c r="K3" s="362">
        <f t="shared" si="0"/>
        <v>2021</v>
      </c>
      <c r="L3" s="416">
        <f t="shared" si="0"/>
        <v>2022</v>
      </c>
      <c r="M3" s="416">
        <f t="shared" si="0"/>
        <v>2023</v>
      </c>
      <c r="N3" s="416">
        <f t="shared" si="0"/>
        <v>2024</v>
      </c>
      <c r="O3" s="416">
        <f t="shared" si="0"/>
        <v>2025</v>
      </c>
      <c r="P3" s="419">
        <f t="shared" si="0"/>
        <v>2026</v>
      </c>
    </row>
    <row r="4" spans="3:18" ht="17" thickBot="1" x14ac:dyDescent="0.25">
      <c r="C4" s="357" t="s">
        <v>168</v>
      </c>
      <c r="D4" s="113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/>
      <c r="Q4" s="46"/>
      <c r="R4" s="57"/>
    </row>
    <row r="5" spans="3:18" ht="16" x14ac:dyDescent="0.2">
      <c r="C5" s="363" t="s">
        <v>42</v>
      </c>
      <c r="D5" s="364"/>
      <c r="E5" s="365"/>
      <c r="F5" s="365"/>
      <c r="G5" s="365"/>
      <c r="H5" s="365"/>
      <c r="I5" s="365"/>
      <c r="J5" s="365"/>
      <c r="K5" s="366"/>
      <c r="L5" s="549">
        <f>(K5*L6)+K5</f>
        <v>0</v>
      </c>
      <c r="M5" s="549">
        <f>(L5*M6)+L5</f>
        <v>0</v>
      </c>
      <c r="N5" s="549">
        <f>(M5*N6)+M5</f>
        <v>0</v>
      </c>
      <c r="O5" s="549">
        <f>(N5*O6)+N5</f>
        <v>0</v>
      </c>
      <c r="P5" s="550">
        <f>(O5*P6)+O5</f>
        <v>0</v>
      </c>
      <c r="Q5" s="46"/>
      <c r="R5" s="57"/>
    </row>
    <row r="6" spans="3:18" ht="17" thickBot="1" x14ac:dyDescent="0.25">
      <c r="C6" s="311" t="s">
        <v>61</v>
      </c>
      <c r="D6" s="312"/>
      <c r="E6" s="551" t="str">
        <f t="shared" ref="E6:K6" si="1">IFERROR((E5-D5)/D5,"")</f>
        <v/>
      </c>
      <c r="F6" s="551" t="str">
        <f t="shared" si="1"/>
        <v/>
      </c>
      <c r="G6" s="551" t="str">
        <f>IFERROR((G5-F5)/F5,"")</f>
        <v/>
      </c>
      <c r="H6" s="551" t="str">
        <f t="shared" si="1"/>
        <v/>
      </c>
      <c r="I6" s="551" t="str">
        <f t="shared" si="1"/>
        <v/>
      </c>
      <c r="J6" s="551" t="str">
        <f t="shared" si="1"/>
        <v/>
      </c>
      <c r="K6" s="313" t="str">
        <f t="shared" si="1"/>
        <v/>
      </c>
      <c r="L6" s="552">
        <f>$I$28</f>
        <v>0</v>
      </c>
      <c r="M6" s="552">
        <f t="shared" ref="M6:P6" si="2">$I$28</f>
        <v>0</v>
      </c>
      <c r="N6" s="552">
        <f t="shared" si="2"/>
        <v>0</v>
      </c>
      <c r="O6" s="552">
        <f t="shared" si="2"/>
        <v>0</v>
      </c>
      <c r="P6" s="553">
        <f t="shared" si="2"/>
        <v>0</v>
      </c>
      <c r="Q6" s="547"/>
    </row>
    <row r="7" spans="3:18" ht="17" outlineLevel="1" thickBot="1" x14ac:dyDescent="0.25">
      <c r="C7" s="367" t="s">
        <v>21</v>
      </c>
      <c r="D7" s="368"/>
      <c r="E7" s="369"/>
      <c r="F7" s="370"/>
      <c r="G7" s="370"/>
      <c r="H7" s="370"/>
      <c r="I7" s="370"/>
      <c r="J7" s="370"/>
      <c r="K7" s="371"/>
      <c r="L7" s="554"/>
      <c r="M7" s="554"/>
      <c r="N7" s="554"/>
      <c r="O7" s="554"/>
      <c r="P7" s="555"/>
      <c r="Q7" s="46"/>
      <c r="R7" s="57"/>
    </row>
    <row r="8" spans="3:18" ht="17" outlineLevel="1" thickBot="1" x14ac:dyDescent="0.25">
      <c r="C8" s="314" t="s">
        <v>54</v>
      </c>
      <c r="D8" s="315" t="str">
        <f t="shared" ref="D8:J8" si="3">IFERROR(D7/D5,"")</f>
        <v/>
      </c>
      <c r="E8" s="316" t="str">
        <f t="shared" si="3"/>
        <v/>
      </c>
      <c r="F8" s="316" t="str">
        <f t="shared" si="3"/>
        <v/>
      </c>
      <c r="G8" s="316" t="str">
        <f t="shared" si="3"/>
        <v/>
      </c>
      <c r="H8" s="316" t="str">
        <f t="shared" si="3"/>
        <v/>
      </c>
      <c r="I8" s="316" t="str">
        <f t="shared" si="3"/>
        <v/>
      </c>
      <c r="J8" s="316" t="str">
        <f t="shared" si="3"/>
        <v/>
      </c>
      <c r="K8" s="317" t="str">
        <f>IFERROR(K7/K5,"")</f>
        <v/>
      </c>
      <c r="L8" s="556"/>
      <c r="M8" s="556"/>
      <c r="N8" s="556"/>
      <c r="O8" s="556"/>
      <c r="P8" s="557"/>
      <c r="Q8" s="46"/>
      <c r="R8" s="57"/>
    </row>
    <row r="9" spans="3:18" ht="16" x14ac:dyDescent="0.2">
      <c r="C9" s="372" t="s">
        <v>1</v>
      </c>
      <c r="D9" s="373">
        <f t="shared" ref="D9:I9" si="4">D12+D11</f>
        <v>0</v>
      </c>
      <c r="E9" s="374">
        <f t="shared" si="4"/>
        <v>0</v>
      </c>
      <c r="F9" s="374">
        <f t="shared" si="4"/>
        <v>0</v>
      </c>
      <c r="G9" s="374">
        <f t="shared" si="4"/>
        <v>0</v>
      </c>
      <c r="H9" s="374">
        <f t="shared" si="4"/>
        <v>0</v>
      </c>
      <c r="I9" s="374">
        <f t="shared" si="4"/>
        <v>0</v>
      </c>
      <c r="J9" s="374">
        <f>J11+J12</f>
        <v>0</v>
      </c>
      <c r="K9" s="374">
        <f>K11+K12</f>
        <v>0</v>
      </c>
      <c r="L9" s="374">
        <f t="shared" ref="L9:P9" si="5">L11+L12</f>
        <v>0</v>
      </c>
      <c r="M9" s="374">
        <f t="shared" si="5"/>
        <v>0</v>
      </c>
      <c r="N9" s="374">
        <f t="shared" si="5"/>
        <v>0</v>
      </c>
      <c r="O9" s="374">
        <f t="shared" si="5"/>
        <v>0</v>
      </c>
      <c r="P9" s="375">
        <f t="shared" si="5"/>
        <v>0</v>
      </c>
      <c r="Q9" s="46"/>
      <c r="R9" s="57"/>
    </row>
    <row r="10" spans="3:18" ht="16" x14ac:dyDescent="0.2">
      <c r="C10" s="318" t="s">
        <v>47</v>
      </c>
      <c r="D10" s="319" t="str">
        <f t="shared" ref="D10:K10" si="6">IFERROR(D9/D5,"")</f>
        <v/>
      </c>
      <c r="E10" s="320" t="str">
        <f t="shared" si="6"/>
        <v/>
      </c>
      <c r="F10" s="320" t="str">
        <f t="shared" si="6"/>
        <v/>
      </c>
      <c r="G10" s="320" t="str">
        <f t="shared" si="6"/>
        <v/>
      </c>
      <c r="H10" s="320" t="str">
        <f t="shared" si="6"/>
        <v/>
      </c>
      <c r="I10" s="320" t="str">
        <f t="shared" si="6"/>
        <v/>
      </c>
      <c r="J10" s="320" t="str">
        <f t="shared" si="6"/>
        <v/>
      </c>
      <c r="K10" s="321">
        <f ca="1">K12+K10</f>
        <v>0</v>
      </c>
      <c r="L10" s="558" t="e">
        <f>L9/L5</f>
        <v>#DIV/0!</v>
      </c>
      <c r="M10" s="558" t="e">
        <f t="shared" ref="M10:P10" si="7">M9/M5</f>
        <v>#DIV/0!</v>
      </c>
      <c r="N10" s="558" t="e">
        <f t="shared" si="7"/>
        <v>#DIV/0!</v>
      </c>
      <c r="O10" s="558" t="e">
        <f t="shared" si="7"/>
        <v>#DIV/0!</v>
      </c>
      <c r="P10" s="559" t="e">
        <f t="shared" si="7"/>
        <v>#DIV/0!</v>
      </c>
      <c r="Q10" s="46"/>
      <c r="R10" s="639"/>
    </row>
    <row r="11" spans="3:18" ht="17" thickBot="1" x14ac:dyDescent="0.25">
      <c r="C11" s="376" t="s">
        <v>43</v>
      </c>
      <c r="D11" s="377"/>
      <c r="E11" s="378"/>
      <c r="F11" s="378"/>
      <c r="G11" s="378"/>
      <c r="H11" s="378"/>
      <c r="I11" s="378"/>
      <c r="J11" s="379"/>
      <c r="K11" s="379"/>
      <c r="L11" s="322">
        <f>(K11*0%)+K11</f>
        <v>0</v>
      </c>
      <c r="M11" s="322">
        <f>(L11*M6)+L11</f>
        <v>0</v>
      </c>
      <c r="N11" s="322">
        <f>(M11*N6)+M11</f>
        <v>0</v>
      </c>
      <c r="O11" s="322">
        <f>(N11*O6)+N11</f>
        <v>0</v>
      </c>
      <c r="P11" s="560">
        <f>(O11*P6)+O11</f>
        <v>0</v>
      </c>
      <c r="Q11" s="46"/>
      <c r="R11" s="57"/>
    </row>
    <row r="12" spans="3:18" ht="16" x14ac:dyDescent="0.2">
      <c r="C12" s="380" t="s">
        <v>2</v>
      </c>
      <c r="D12" s="381"/>
      <c r="E12" s="382"/>
      <c r="F12" s="382"/>
      <c r="G12" s="382"/>
      <c r="H12" s="382"/>
      <c r="I12" s="382"/>
      <c r="J12" s="382"/>
      <c r="K12" s="383"/>
      <c r="L12" s="561">
        <f>L5*L13</f>
        <v>0</v>
      </c>
      <c r="M12" s="561">
        <f>M5*M13</f>
        <v>0</v>
      </c>
      <c r="N12" s="561">
        <f>N5*N13</f>
        <v>0</v>
      </c>
      <c r="O12" s="561">
        <f>O5*O13</f>
        <v>0</v>
      </c>
      <c r="P12" s="704">
        <f>P5*P13</f>
        <v>0</v>
      </c>
      <c r="Q12" s="46"/>
      <c r="R12" s="351"/>
    </row>
    <row r="13" spans="3:18" ht="16" x14ac:dyDescent="0.2">
      <c r="C13" s="311" t="s">
        <v>44</v>
      </c>
      <c r="D13" s="323" t="str">
        <f t="shared" ref="D13:K13" si="8">IFERROR(D12/D5,"")</f>
        <v/>
      </c>
      <c r="E13" s="324" t="str">
        <f t="shared" si="8"/>
        <v/>
      </c>
      <c r="F13" s="324" t="str">
        <f t="shared" si="8"/>
        <v/>
      </c>
      <c r="G13" s="324" t="str">
        <f t="shared" si="8"/>
        <v/>
      </c>
      <c r="H13" s="324" t="str">
        <f t="shared" si="8"/>
        <v/>
      </c>
      <c r="I13" s="324" t="str">
        <f t="shared" si="8"/>
        <v/>
      </c>
      <c r="J13" s="324" t="str">
        <f t="shared" si="8"/>
        <v/>
      </c>
      <c r="K13" s="325" t="str">
        <f t="shared" si="8"/>
        <v/>
      </c>
      <c r="L13" s="558">
        <f>$I$29</f>
        <v>0</v>
      </c>
      <c r="M13" s="558">
        <f t="shared" ref="M13:P13" si="9">$I$29</f>
        <v>0</v>
      </c>
      <c r="N13" s="558">
        <f t="shared" si="9"/>
        <v>0</v>
      </c>
      <c r="O13" s="558">
        <f t="shared" si="9"/>
        <v>0</v>
      </c>
      <c r="P13" s="559">
        <f t="shared" si="9"/>
        <v>0</v>
      </c>
      <c r="Q13" s="547"/>
    </row>
    <row r="14" spans="3:18" ht="16" x14ac:dyDescent="0.2">
      <c r="C14" s="318" t="s">
        <v>60</v>
      </c>
      <c r="D14" s="326"/>
      <c r="E14" s="320" t="str">
        <f>IFERROR((E12-D12)/D12,"")</f>
        <v/>
      </c>
      <c r="F14" s="320" t="str">
        <f t="shared" ref="F14:P14" si="10">IFERROR((F12-E12)/E12,"")</f>
        <v/>
      </c>
      <c r="G14" s="320" t="str">
        <f>IFERROR((G12-F12)/F12,"")</f>
        <v/>
      </c>
      <c r="H14" s="320" t="str">
        <f t="shared" si="10"/>
        <v/>
      </c>
      <c r="I14" s="320" t="str">
        <f t="shared" si="10"/>
        <v/>
      </c>
      <c r="J14" s="320" t="str">
        <f t="shared" si="10"/>
        <v/>
      </c>
      <c r="K14" s="327" t="str">
        <f t="shared" si="10"/>
        <v/>
      </c>
      <c r="L14" s="551" t="str">
        <f t="shared" si="10"/>
        <v/>
      </c>
      <c r="M14" s="551" t="str">
        <f t="shared" si="10"/>
        <v/>
      </c>
      <c r="N14" s="551" t="str">
        <f t="shared" si="10"/>
        <v/>
      </c>
      <c r="O14" s="551" t="str">
        <f t="shared" si="10"/>
        <v/>
      </c>
      <c r="P14" s="333" t="str">
        <f t="shared" si="10"/>
        <v/>
      </c>
      <c r="Q14" s="548"/>
    </row>
    <row r="15" spans="3:18" ht="16" x14ac:dyDescent="0.2">
      <c r="C15" s="384" t="s">
        <v>49</v>
      </c>
      <c r="D15" s="377"/>
      <c r="E15" s="378"/>
      <c r="F15" s="378"/>
      <c r="G15" s="378"/>
      <c r="H15" s="378"/>
      <c r="I15" s="378"/>
      <c r="J15" s="378"/>
      <c r="K15" s="379"/>
      <c r="L15" s="328">
        <f>(K15*$I$28)+K15</f>
        <v>0</v>
      </c>
      <c r="M15" s="328">
        <f>(L15*$I$28)+L15</f>
        <v>0</v>
      </c>
      <c r="N15" s="328">
        <f>(M15*$I$28)+M15</f>
        <v>0</v>
      </c>
      <c r="O15" s="328">
        <f>(N15*$I$28)+N15</f>
        <v>0</v>
      </c>
      <c r="P15" s="562">
        <f>(O15*$I$28)+O15</f>
        <v>0</v>
      </c>
      <c r="Q15" s="46"/>
      <c r="R15" s="57"/>
    </row>
    <row r="16" spans="3:18" ht="16" x14ac:dyDescent="0.2">
      <c r="C16" s="329"/>
      <c r="D16" s="329"/>
      <c r="E16" s="563"/>
      <c r="F16" s="563"/>
      <c r="G16" s="563"/>
      <c r="H16" s="563"/>
      <c r="I16" s="563"/>
      <c r="J16" s="563"/>
      <c r="K16" s="330"/>
      <c r="L16" s="556"/>
      <c r="M16" s="556"/>
      <c r="N16" s="556"/>
      <c r="O16" s="556"/>
      <c r="P16" s="557"/>
      <c r="Q16" s="46"/>
      <c r="R16" s="57"/>
    </row>
    <row r="17" spans="3:18" ht="16" x14ac:dyDescent="0.2">
      <c r="C17" s="380" t="s">
        <v>48</v>
      </c>
      <c r="D17" s="380">
        <f t="shared" ref="D17:P17" si="11">D12-D15-D16</f>
        <v>0</v>
      </c>
      <c r="E17" s="564">
        <f t="shared" si="11"/>
        <v>0</v>
      </c>
      <c r="F17" s="564">
        <f t="shared" si="11"/>
        <v>0</v>
      </c>
      <c r="G17" s="564">
        <f t="shared" si="11"/>
        <v>0</v>
      </c>
      <c r="H17" s="564">
        <f t="shared" si="11"/>
        <v>0</v>
      </c>
      <c r="I17" s="564">
        <f t="shared" si="11"/>
        <v>0</v>
      </c>
      <c r="J17" s="564">
        <f t="shared" si="11"/>
        <v>0</v>
      </c>
      <c r="K17" s="386">
        <f t="shared" si="11"/>
        <v>0</v>
      </c>
      <c r="L17" s="565">
        <f t="shared" si="11"/>
        <v>0</v>
      </c>
      <c r="M17" s="565">
        <f t="shared" si="11"/>
        <v>0</v>
      </c>
      <c r="N17" s="565">
        <f t="shared" si="11"/>
        <v>0</v>
      </c>
      <c r="O17" s="565">
        <f t="shared" si="11"/>
        <v>0</v>
      </c>
      <c r="P17" s="566">
        <f t="shared" si="11"/>
        <v>0</v>
      </c>
      <c r="Q17" s="46"/>
      <c r="R17" s="57"/>
    </row>
    <row r="18" spans="3:18" ht="16" x14ac:dyDescent="0.2">
      <c r="C18" s="385" t="s">
        <v>50</v>
      </c>
      <c r="D18" s="377"/>
      <c r="E18" s="498"/>
      <c r="F18" s="498"/>
      <c r="G18" s="498"/>
      <c r="H18" s="498"/>
      <c r="I18" s="498"/>
      <c r="J18" s="498"/>
      <c r="K18" s="585">
        <v>0</v>
      </c>
      <c r="L18" s="586">
        <f>IFERROR(L17*L19,"")</f>
        <v>0</v>
      </c>
      <c r="M18" s="586">
        <f>IFERROR(M17*M19,"")</f>
        <v>0</v>
      </c>
      <c r="N18" s="586">
        <f>IFERROR(N17*$I$30,"")</f>
        <v>0</v>
      </c>
      <c r="O18" s="586">
        <f>IFERROR(O17*$I$30,"")</f>
        <v>0</v>
      </c>
      <c r="P18" s="587">
        <f>IFERROR(P17*$I$30,"")</f>
        <v>0</v>
      </c>
      <c r="Q18" s="46"/>
      <c r="R18" s="57"/>
    </row>
    <row r="19" spans="3:18" ht="16" x14ac:dyDescent="0.2">
      <c r="C19" s="331" t="s">
        <v>51</v>
      </c>
      <c r="D19" s="332" t="str">
        <f>IFERROR(D18/D17,"")</f>
        <v/>
      </c>
      <c r="E19" s="551" t="str">
        <f t="shared" ref="E19:K19" si="12">IFERROR(E18/E17,"")</f>
        <v/>
      </c>
      <c r="F19" s="551" t="str">
        <f t="shared" si="12"/>
        <v/>
      </c>
      <c r="G19" s="551" t="str">
        <f t="shared" si="12"/>
        <v/>
      </c>
      <c r="H19" s="551" t="str">
        <f t="shared" si="12"/>
        <v/>
      </c>
      <c r="I19" s="551" t="str">
        <f t="shared" si="12"/>
        <v/>
      </c>
      <c r="J19" s="551" t="str">
        <f t="shared" si="12"/>
        <v/>
      </c>
      <c r="K19" s="333" t="str">
        <f t="shared" si="12"/>
        <v/>
      </c>
      <c r="L19" s="552">
        <f>$I$30</f>
        <v>0</v>
      </c>
      <c r="M19" s="552">
        <f>$I$30</f>
        <v>0</v>
      </c>
      <c r="N19" s="552">
        <f>$I$30</f>
        <v>0</v>
      </c>
      <c r="O19" s="552">
        <f>$I$30</f>
        <v>0</v>
      </c>
      <c r="P19" s="553">
        <f>$I$30</f>
        <v>0</v>
      </c>
      <c r="Q19" s="547"/>
    </row>
    <row r="20" spans="3:18" ht="16" x14ac:dyDescent="0.2">
      <c r="C20" s="311" t="s">
        <v>0</v>
      </c>
      <c r="D20" s="329">
        <f>D17-D18</f>
        <v>0</v>
      </c>
      <c r="E20" s="563">
        <f t="shared" ref="E20:P20" si="13">E17-E18</f>
        <v>0</v>
      </c>
      <c r="F20" s="563">
        <f t="shared" si="13"/>
        <v>0</v>
      </c>
      <c r="G20" s="563">
        <f t="shared" si="13"/>
        <v>0</v>
      </c>
      <c r="H20" s="563">
        <f t="shared" si="13"/>
        <v>0</v>
      </c>
      <c r="I20" s="563">
        <f t="shared" si="13"/>
        <v>0</v>
      </c>
      <c r="J20" s="563">
        <f t="shared" si="13"/>
        <v>0</v>
      </c>
      <c r="K20" s="330">
        <f t="shared" si="13"/>
        <v>0</v>
      </c>
      <c r="L20" s="567">
        <f>L17-L18</f>
        <v>0</v>
      </c>
      <c r="M20" s="567">
        <f t="shared" si="13"/>
        <v>0</v>
      </c>
      <c r="N20" s="567">
        <f t="shared" si="13"/>
        <v>0</v>
      </c>
      <c r="O20" s="567">
        <f t="shared" si="13"/>
        <v>0</v>
      </c>
      <c r="P20" s="568">
        <f t="shared" si="13"/>
        <v>0</v>
      </c>
      <c r="Q20" s="46"/>
      <c r="R20" s="57"/>
    </row>
    <row r="21" spans="3:18" ht="16" x14ac:dyDescent="0.2">
      <c r="C21" s="367" t="s">
        <v>45</v>
      </c>
      <c r="D21" s="377"/>
      <c r="E21" s="378"/>
      <c r="F21" s="378"/>
      <c r="G21" s="378"/>
      <c r="H21" s="378"/>
      <c r="I21" s="378"/>
      <c r="J21" s="378"/>
      <c r="K21" s="379"/>
      <c r="L21" s="554">
        <v>0</v>
      </c>
      <c r="M21" s="554">
        <v>0</v>
      </c>
      <c r="N21" s="554">
        <v>0</v>
      </c>
      <c r="O21" s="554">
        <v>0</v>
      </c>
      <c r="P21" s="555">
        <v>0</v>
      </c>
      <c r="Q21" s="46"/>
      <c r="R21" s="57"/>
    </row>
    <row r="22" spans="3:18" ht="17" thickBot="1" x14ac:dyDescent="0.25">
      <c r="C22" s="387" t="s">
        <v>46</v>
      </c>
      <c r="D22" s="705">
        <f t="shared" ref="D22:P22" si="14">D20-D21</f>
        <v>0</v>
      </c>
      <c r="E22" s="388">
        <f t="shared" si="14"/>
        <v>0</v>
      </c>
      <c r="F22" s="388">
        <f t="shared" si="14"/>
        <v>0</v>
      </c>
      <c r="G22" s="388">
        <f t="shared" si="14"/>
        <v>0</v>
      </c>
      <c r="H22" s="388">
        <f t="shared" si="14"/>
        <v>0</v>
      </c>
      <c r="I22" s="388">
        <f t="shared" si="14"/>
        <v>0</v>
      </c>
      <c r="J22" s="388">
        <f>J17-J18-J21</f>
        <v>0</v>
      </c>
      <c r="K22" s="389">
        <f>K17-K18-K21</f>
        <v>0</v>
      </c>
      <c r="L22" s="569">
        <f t="shared" si="14"/>
        <v>0</v>
      </c>
      <c r="M22" s="569">
        <f t="shared" si="14"/>
        <v>0</v>
      </c>
      <c r="N22" s="569">
        <f t="shared" si="14"/>
        <v>0</v>
      </c>
      <c r="O22" s="569">
        <f t="shared" si="14"/>
        <v>0</v>
      </c>
      <c r="P22" s="570">
        <f t="shared" si="14"/>
        <v>0</v>
      </c>
      <c r="Q22" s="46"/>
    </row>
    <row r="23" spans="3:18" ht="16" x14ac:dyDescent="0.2">
      <c r="C23" s="334" t="s">
        <v>52</v>
      </c>
      <c r="D23" s="335" t="str">
        <f t="shared" ref="D23:P23" si="15">IFERROR(D22/D5,"")</f>
        <v/>
      </c>
      <c r="E23" s="336" t="str">
        <f t="shared" si="15"/>
        <v/>
      </c>
      <c r="F23" s="336" t="str">
        <f t="shared" si="15"/>
        <v/>
      </c>
      <c r="G23" s="336" t="str">
        <f t="shared" si="15"/>
        <v/>
      </c>
      <c r="H23" s="336" t="str">
        <f t="shared" si="15"/>
        <v/>
      </c>
      <c r="I23" s="336" t="str">
        <f t="shared" si="15"/>
        <v/>
      </c>
      <c r="J23" s="336" t="str">
        <f t="shared" si="15"/>
        <v/>
      </c>
      <c r="K23" s="337" t="str">
        <f t="shared" si="15"/>
        <v/>
      </c>
      <c r="L23" s="338" t="str">
        <f t="shared" si="15"/>
        <v/>
      </c>
      <c r="M23" s="339" t="str">
        <f t="shared" si="15"/>
        <v/>
      </c>
      <c r="N23" s="339" t="str">
        <f t="shared" si="15"/>
        <v/>
      </c>
      <c r="O23" s="339" t="str">
        <f t="shared" si="15"/>
        <v/>
      </c>
      <c r="P23" s="571" t="str">
        <f t="shared" si="15"/>
        <v/>
      </c>
      <c r="Q23" s="46"/>
      <c r="R23" s="57"/>
    </row>
    <row r="24" spans="3:18" ht="16" x14ac:dyDescent="0.2">
      <c r="C24" s="400" t="s">
        <v>53</v>
      </c>
      <c r="D24" s="401" t="str">
        <f t="shared" ref="D24:P24" si="16">IFERROR(D22/D25,"")</f>
        <v/>
      </c>
      <c r="E24" s="402" t="str">
        <f t="shared" si="16"/>
        <v/>
      </c>
      <c r="F24" s="402" t="str">
        <f t="shared" si="16"/>
        <v/>
      </c>
      <c r="G24" s="402" t="str">
        <f t="shared" si="16"/>
        <v/>
      </c>
      <c r="H24" s="402" t="str">
        <f t="shared" si="16"/>
        <v/>
      </c>
      <c r="I24" s="402" t="str">
        <f t="shared" si="16"/>
        <v/>
      </c>
      <c r="J24" s="402" t="str">
        <f t="shared" si="16"/>
        <v/>
      </c>
      <c r="K24" s="403" t="str">
        <f t="shared" si="16"/>
        <v/>
      </c>
      <c r="L24" s="341" t="str">
        <f t="shared" si="16"/>
        <v/>
      </c>
      <c r="M24" s="340" t="str">
        <f t="shared" si="16"/>
        <v/>
      </c>
      <c r="N24" s="340" t="str">
        <f t="shared" si="16"/>
        <v/>
      </c>
      <c r="O24" s="340" t="str">
        <f t="shared" si="16"/>
        <v/>
      </c>
      <c r="P24" s="572" t="str">
        <f t="shared" si="16"/>
        <v/>
      </c>
      <c r="Q24" s="46"/>
      <c r="R24" s="57"/>
    </row>
    <row r="25" spans="3:18" ht="17" thickBot="1" x14ac:dyDescent="0.25">
      <c r="C25" s="573" t="s">
        <v>55</v>
      </c>
      <c r="D25" s="574"/>
      <c r="E25" s="575"/>
      <c r="F25" s="575"/>
      <c r="G25" s="575"/>
      <c r="H25" s="575"/>
      <c r="I25" s="575"/>
      <c r="J25" s="575"/>
      <c r="K25" s="576"/>
      <c r="L25" s="577">
        <f>K25</f>
        <v>0</v>
      </c>
      <c r="M25" s="575">
        <f>L25</f>
        <v>0</v>
      </c>
      <c r="N25" s="575">
        <f t="shared" ref="N25:P25" si="17">M25</f>
        <v>0</v>
      </c>
      <c r="O25" s="575">
        <f t="shared" si="17"/>
        <v>0</v>
      </c>
      <c r="P25" s="578">
        <f t="shared" si="17"/>
        <v>0</v>
      </c>
      <c r="Q25" s="46"/>
      <c r="R25" s="57"/>
    </row>
    <row r="26" spans="3:18" ht="17" thickBot="1" x14ac:dyDescent="0.25">
      <c r="C26" s="57"/>
      <c r="K26" s="353"/>
      <c r="L26" s="46"/>
      <c r="M26" s="46"/>
      <c r="N26" s="46"/>
      <c r="O26" s="46"/>
      <c r="P26" s="46"/>
      <c r="Q26" s="57"/>
      <c r="R26" s="71" t="b">
        <v>1</v>
      </c>
    </row>
    <row r="27" spans="3:18" ht="22" thickBot="1" x14ac:dyDescent="0.3">
      <c r="C27" s="57"/>
      <c r="E27" s="652" t="s">
        <v>169</v>
      </c>
      <c r="F27" s="653"/>
      <c r="G27" s="653"/>
      <c r="H27" s="653"/>
      <c r="I27" s="654"/>
      <c r="J27" s="297"/>
      <c r="K27" s="297"/>
      <c r="L27" s="57"/>
      <c r="M27" s="76"/>
      <c r="N27" s="57"/>
      <c r="P27" s="57"/>
      <c r="Q27" s="57"/>
      <c r="R27" s="57"/>
    </row>
    <row r="28" spans="3:18" ht="19.5" customHeight="1" outlineLevel="1" thickBot="1" x14ac:dyDescent="0.3">
      <c r="C28" s="57"/>
      <c r="E28" s="646" t="s">
        <v>42</v>
      </c>
      <c r="F28" s="647"/>
      <c r="G28" s="647"/>
      <c r="H28" s="648"/>
      <c r="I28" s="358">
        <v>0</v>
      </c>
      <c r="L28" s="57"/>
      <c r="M28" s="76"/>
      <c r="N28" s="57"/>
      <c r="P28" s="57"/>
      <c r="Q28" s="57"/>
      <c r="R28" s="57"/>
    </row>
    <row r="29" spans="3:18" ht="17" outlineLevel="1" thickBot="1" x14ac:dyDescent="0.25">
      <c r="C29" s="57"/>
      <c r="E29" s="646" t="s">
        <v>170</v>
      </c>
      <c r="F29" s="647"/>
      <c r="G29" s="647"/>
      <c r="H29" s="648"/>
      <c r="I29" s="358">
        <v>0</v>
      </c>
      <c r="L29" s="57"/>
      <c r="M29" s="57"/>
      <c r="N29" s="57"/>
      <c r="O29" s="57"/>
      <c r="P29" s="57"/>
      <c r="Q29" s="57"/>
      <c r="R29" s="57"/>
    </row>
    <row r="30" spans="3:18" ht="17" outlineLevel="1" thickBot="1" x14ac:dyDescent="0.25">
      <c r="E30" s="649" t="s">
        <v>12</v>
      </c>
      <c r="F30" s="650"/>
      <c r="G30" s="650"/>
      <c r="H30" s="651"/>
      <c r="I30" s="358">
        <v>0</v>
      </c>
    </row>
    <row r="31" spans="3:18" outlineLevel="1" x14ac:dyDescent="0.2"/>
    <row r="35" spans="3:11" ht="16" x14ac:dyDescent="0.2">
      <c r="D35" s="643" t="s">
        <v>171</v>
      </c>
      <c r="E35" s="644"/>
      <c r="F35" s="644"/>
      <c r="G35" s="644"/>
      <c r="H35" s="644"/>
      <c r="I35" s="644"/>
      <c r="J35" s="644"/>
      <c r="K35" s="645"/>
    </row>
    <row r="36" spans="3:11" ht="16" x14ac:dyDescent="0.2">
      <c r="D36" s="359">
        <f t="shared" ref="D36:K36" si="18">D3</f>
        <v>2014</v>
      </c>
      <c r="E36" s="359">
        <f t="shared" si="18"/>
        <v>2015</v>
      </c>
      <c r="F36" s="359">
        <f t="shared" si="18"/>
        <v>2016</v>
      </c>
      <c r="G36" s="359">
        <f t="shared" si="18"/>
        <v>2017</v>
      </c>
      <c r="H36" s="359">
        <f t="shared" si="18"/>
        <v>2018</v>
      </c>
      <c r="I36" s="359">
        <f t="shared" si="18"/>
        <v>2019</v>
      </c>
      <c r="J36" s="359">
        <f t="shared" si="18"/>
        <v>2020</v>
      </c>
      <c r="K36" s="359">
        <f t="shared" si="18"/>
        <v>2021</v>
      </c>
    </row>
    <row r="37" spans="3:11" ht="16" x14ac:dyDescent="0.2">
      <c r="C37" s="77" t="s">
        <v>67</v>
      </c>
      <c r="D37" s="391"/>
      <c r="E37" s="392"/>
      <c r="F37" s="393"/>
      <c r="G37" s="390"/>
      <c r="H37" s="390"/>
      <c r="I37" s="390"/>
      <c r="J37" s="390"/>
      <c r="K37" s="394"/>
    </row>
    <row r="38" spans="3:11" x14ac:dyDescent="0.2">
      <c r="C38" s="78" t="s">
        <v>68</v>
      </c>
      <c r="D38" s="79" t="str">
        <f t="shared" ref="D38:K38" si="19">IFERROR(D5/D37,"")</f>
        <v/>
      </c>
      <c r="E38" s="80" t="str">
        <f t="shared" si="19"/>
        <v/>
      </c>
      <c r="F38" s="80" t="str">
        <f t="shared" si="19"/>
        <v/>
      </c>
      <c r="G38" s="80" t="str">
        <f t="shared" si="19"/>
        <v/>
      </c>
      <c r="H38" s="80" t="str">
        <f t="shared" si="19"/>
        <v/>
      </c>
      <c r="I38" s="80" t="str">
        <f t="shared" si="19"/>
        <v/>
      </c>
      <c r="J38" s="80" t="str">
        <f t="shared" si="19"/>
        <v/>
      </c>
      <c r="K38" s="81" t="str">
        <f t="shared" si="19"/>
        <v/>
      </c>
    </row>
    <row r="39" spans="3:11" ht="16" thickBot="1" x14ac:dyDescent="0.25">
      <c r="C39" s="78" t="s">
        <v>69</v>
      </c>
      <c r="D39" s="79" t="str">
        <f>IFERROR((E38-D38)/D38,"")</f>
        <v/>
      </c>
      <c r="E39" s="80" t="str">
        <f t="shared" ref="E39:K39" si="20">IFERROR((F38-E38)/E38,"")</f>
        <v/>
      </c>
      <c r="F39" s="80" t="str">
        <f t="shared" si="20"/>
        <v/>
      </c>
      <c r="G39" s="80" t="str">
        <f t="shared" si="20"/>
        <v/>
      </c>
      <c r="H39" s="80" t="str">
        <f t="shared" si="20"/>
        <v/>
      </c>
      <c r="I39" s="80" t="str">
        <f t="shared" si="20"/>
        <v/>
      </c>
      <c r="J39" s="80" t="str">
        <f t="shared" si="20"/>
        <v/>
      </c>
      <c r="K39" s="81" t="str">
        <f t="shared" si="20"/>
        <v/>
      </c>
    </row>
    <row r="40" spans="3:11" ht="16" x14ac:dyDescent="0.2">
      <c r="C40" s="395" t="s">
        <v>70</v>
      </c>
      <c r="D40" s="396"/>
      <c r="E40" s="397"/>
      <c r="F40" s="397"/>
      <c r="G40" s="398"/>
      <c r="H40" s="398"/>
      <c r="I40" s="398"/>
      <c r="J40" s="398"/>
      <c r="K40" s="399"/>
    </row>
    <row r="78" spans="7:16" x14ac:dyDescent="0.2">
      <c r="G78" s="48" t="s">
        <v>84</v>
      </c>
      <c r="I78" s="138" t="str">
        <f>IFERROR(AVERAGE(D13:K13),"")</f>
        <v/>
      </c>
      <c r="J78" s="138" t="str">
        <f>IFERROR(AVERAGE(D13:K13),"")</f>
        <v/>
      </c>
      <c r="K78" s="138" t="str">
        <f>IFERROR(AVERAGE(D13:K13),"")</f>
        <v/>
      </c>
      <c r="L78" s="138" t="str">
        <f>IFERROR(AVERAGE(D13:K13),"")</f>
        <v/>
      </c>
      <c r="M78" s="138" t="str">
        <f>IFERROR(AVERAGE(D13:K13),"")</f>
        <v/>
      </c>
      <c r="N78" s="138" t="str">
        <f>IFERROR(AVERAGE(D13:K13),"")</f>
        <v/>
      </c>
      <c r="O78" s="138" t="str">
        <f>IFERROR(AVERAGE(D13:K13),"")</f>
        <v/>
      </c>
      <c r="P78" s="138" t="str">
        <f>IFERROR(AVERAGE(D13:K13),"")</f>
        <v/>
      </c>
    </row>
    <row r="79" spans="7:16" x14ac:dyDescent="0.2">
      <c r="G79" s="48" t="s">
        <v>85</v>
      </c>
      <c r="I79" s="138" t="str">
        <f>IFERROR(AVERAGE(D23:K23),"")</f>
        <v/>
      </c>
      <c r="J79" s="138" t="str">
        <f>IFERROR(AVERAGE(D23:K23),"")</f>
        <v/>
      </c>
      <c r="K79" s="138" t="str">
        <f>IFERROR(AVERAGE(D23:K23),"")</f>
        <v/>
      </c>
      <c r="L79" s="138" t="str">
        <f>IFERROR(AVERAGE(D23:K23),"")</f>
        <v/>
      </c>
      <c r="M79" s="138" t="str">
        <f>IFERROR(AVERAGE(D23:K23),"")</f>
        <v/>
      </c>
      <c r="N79" s="138" t="str">
        <f>IFERROR(AVERAGE(D23:K23),"")</f>
        <v/>
      </c>
      <c r="O79" s="138" t="str">
        <f>IFERROR(AVERAGE(D23:K23),"")</f>
        <v/>
      </c>
      <c r="P79" s="138" t="str">
        <f>IFERROR(AVERAGE(D23:K23),"")</f>
        <v/>
      </c>
    </row>
    <row r="80" spans="7:16" x14ac:dyDescent="0.2">
      <c r="I80" s="139"/>
      <c r="J80" s="139"/>
      <c r="K80" s="139"/>
      <c r="L80" s="139"/>
      <c r="M80" s="139"/>
      <c r="N80" s="139"/>
      <c r="O80" s="139"/>
      <c r="P80" s="139"/>
    </row>
    <row r="93" spans="3:14" ht="16" x14ac:dyDescent="0.2">
      <c r="D93" s="643" t="s">
        <v>130</v>
      </c>
      <c r="E93" s="644"/>
      <c r="F93" s="644"/>
      <c r="G93" s="644"/>
      <c r="H93" s="644"/>
      <c r="I93" s="644"/>
      <c r="J93" s="644"/>
      <c r="K93" s="645"/>
    </row>
    <row r="94" spans="3:14" ht="17" thickBot="1" x14ac:dyDescent="0.25">
      <c r="D94" s="404">
        <f>D3</f>
        <v>2014</v>
      </c>
      <c r="E94" s="405">
        <f t="shared" ref="E94:K94" si="21">E3</f>
        <v>2015</v>
      </c>
      <c r="F94" s="405">
        <f t="shared" si="21"/>
        <v>2016</v>
      </c>
      <c r="G94" s="405">
        <f t="shared" si="21"/>
        <v>2017</v>
      </c>
      <c r="H94" s="405">
        <f t="shared" si="21"/>
        <v>2018</v>
      </c>
      <c r="I94" s="405">
        <f t="shared" si="21"/>
        <v>2019</v>
      </c>
      <c r="J94" s="405">
        <f t="shared" si="21"/>
        <v>2020</v>
      </c>
      <c r="K94" s="406">
        <f t="shared" si="21"/>
        <v>2021</v>
      </c>
      <c r="L94" s="110">
        <v>8</v>
      </c>
      <c r="M94" s="254"/>
      <c r="N94" s="248">
        <v>2010</v>
      </c>
    </row>
    <row r="95" spans="3:14" ht="16" x14ac:dyDescent="0.2">
      <c r="C95" s="228" t="s">
        <v>131</v>
      </c>
      <c r="D95" s="407"/>
      <c r="E95" s="408"/>
      <c r="F95" s="408"/>
      <c r="G95" s="408"/>
      <c r="H95" s="408"/>
      <c r="I95" s="408"/>
      <c r="J95" s="408"/>
      <c r="K95" s="409"/>
      <c r="L95" s="249" t="str">
        <f>C95</f>
        <v>EMEA</v>
      </c>
      <c r="M95" s="248">
        <f>VLOOKUP($L$95,C95:K98,L94+1,FALSE)</f>
        <v>0</v>
      </c>
      <c r="N95" s="248">
        <v>2011</v>
      </c>
    </row>
    <row r="96" spans="3:14" ht="16" x14ac:dyDescent="0.2">
      <c r="C96" s="229" t="s">
        <v>132</v>
      </c>
      <c r="D96" s="410"/>
      <c r="E96" s="411"/>
      <c r="F96" s="411"/>
      <c r="G96" s="411"/>
      <c r="H96" s="411"/>
      <c r="I96" s="411"/>
      <c r="J96" s="411"/>
      <c r="K96" s="412"/>
      <c r="L96" s="249" t="str">
        <f>C96</f>
        <v>APAC</v>
      </c>
      <c r="M96" s="248">
        <f>VLOOKUP(C96,C96:K99,L94+1,FALSE)</f>
        <v>0</v>
      </c>
      <c r="N96" s="248">
        <v>2012</v>
      </c>
    </row>
    <row r="97" spans="3:14" ht="16" x14ac:dyDescent="0.2">
      <c r="C97" s="229" t="s">
        <v>122</v>
      </c>
      <c r="D97" s="410"/>
      <c r="E97" s="411"/>
      <c r="F97" s="411"/>
      <c r="G97" s="411"/>
      <c r="H97" s="411"/>
      <c r="I97" s="411"/>
      <c r="J97" s="411"/>
      <c r="K97" s="412"/>
      <c r="L97" s="249" t="str">
        <f>C97</f>
        <v>LATAM</v>
      </c>
      <c r="M97" s="248">
        <f>VLOOKUP(C97,C97:K100,L94+1,FALSE)</f>
        <v>0</v>
      </c>
      <c r="N97" s="248">
        <v>2013</v>
      </c>
    </row>
    <row r="98" spans="3:14" ht="17" thickBot="1" x14ac:dyDescent="0.25">
      <c r="C98" s="230" t="s">
        <v>133</v>
      </c>
      <c r="D98" s="413"/>
      <c r="E98" s="414"/>
      <c r="F98" s="414"/>
      <c r="G98" s="414"/>
      <c r="H98" s="414"/>
      <c r="I98" s="414"/>
      <c r="J98" s="414"/>
      <c r="K98" s="415"/>
      <c r="L98" s="249" t="str">
        <f>C98</f>
        <v>NA</v>
      </c>
      <c r="M98" s="248">
        <f>VLOOKUP(C98,C98:K101,L94+1,FALSE)</f>
        <v>0</v>
      </c>
      <c r="N98" s="248">
        <v>2014</v>
      </c>
    </row>
    <row r="99" spans="3:14" x14ac:dyDescent="0.2">
      <c r="L99" s="248"/>
      <c r="M99" s="248"/>
      <c r="N99" s="248">
        <v>2015</v>
      </c>
    </row>
    <row r="100" spans="3:14" x14ac:dyDescent="0.2">
      <c r="D100" s="247">
        <v>3</v>
      </c>
      <c r="E100" s="247" t="str">
        <f>INDEX(C5:C23,D100)</f>
        <v>COGS</v>
      </c>
      <c r="F100" s="247"/>
      <c r="G100" s="247"/>
      <c r="H100" s="247"/>
      <c r="I100" s="247"/>
      <c r="J100" s="247"/>
      <c r="K100" s="247"/>
      <c r="L100" s="110"/>
      <c r="M100" s="248"/>
      <c r="N100" s="248">
        <v>2016</v>
      </c>
    </row>
    <row r="101" spans="3:14" x14ac:dyDescent="0.2">
      <c r="D101" s="247"/>
      <c r="E101" s="247">
        <f>VLOOKUP(E100,C5:K25,2,FALSE)</f>
        <v>0</v>
      </c>
      <c r="F101" s="247">
        <f>VLOOKUP(E100,C5:K25,3,FALSE)</f>
        <v>0</v>
      </c>
      <c r="G101" s="247">
        <f>VLOOKUP(E100,C5:K25,4,FALSE)</f>
        <v>0</v>
      </c>
      <c r="H101" s="247">
        <f>VLOOKUP(E100,C5:K25,5,FALSE)</f>
        <v>0</v>
      </c>
      <c r="I101" s="247">
        <f>VLOOKUP(E100,C5:K25,6,FALSE)</f>
        <v>0</v>
      </c>
      <c r="J101" s="247">
        <f>VLOOKUP(E100,C5:K25,7,FALSE)</f>
        <v>0</v>
      </c>
      <c r="K101" s="247">
        <f>VLOOKUP(E100,C5:K25,8,FALSE)</f>
        <v>0</v>
      </c>
      <c r="L101" s="110">
        <f>VLOOKUP(E100,C5:K25,9,FALSE)</f>
        <v>0</v>
      </c>
      <c r="M101" s="248"/>
      <c r="N101" s="248">
        <v>2017</v>
      </c>
    </row>
    <row r="102" spans="3:14" x14ac:dyDescent="0.2">
      <c r="D102" s="247">
        <v>2</v>
      </c>
      <c r="E102" s="247" t="str">
        <f>INDEX(C5:C23,D102)</f>
        <v>Sales Growth %</v>
      </c>
      <c r="F102" s="247"/>
      <c r="G102" s="247"/>
      <c r="H102" s="247"/>
      <c r="I102" s="247"/>
      <c r="J102" s="247"/>
      <c r="K102" s="247"/>
      <c r="L102" s="110"/>
      <c r="M102" s="248"/>
      <c r="N102" s="248"/>
    </row>
    <row r="103" spans="3:14" x14ac:dyDescent="0.2">
      <c r="D103" s="75"/>
      <c r="E103" s="247">
        <f>VLOOKUP(E102,C5:K25,2,FALSE)</f>
        <v>0</v>
      </c>
      <c r="F103" s="247" t="str">
        <f>VLOOKUP(E102,C5:K25,3,FALSE)</f>
        <v/>
      </c>
      <c r="G103" s="247" t="str">
        <f>VLOOKUP(E102,C5:K25,4,FALSE)</f>
        <v/>
      </c>
      <c r="H103" s="247" t="str">
        <f>VLOOKUP(E102,C5:K25,5,FALSE)</f>
        <v/>
      </c>
      <c r="I103" s="247" t="str">
        <f>VLOOKUP(E102,C5:K25,6,FALSE)</f>
        <v/>
      </c>
      <c r="J103" s="247" t="str">
        <f>VLOOKUP(E102,C5:K25,7,FALSE)</f>
        <v/>
      </c>
      <c r="K103" s="247" t="str">
        <f>VLOOKUP(E102,C5:K25,8,FALSE)</f>
        <v/>
      </c>
      <c r="L103" s="247" t="str">
        <f>VLOOKUP(E102,C5:K25,9,FALSE)</f>
        <v/>
      </c>
    </row>
  </sheetData>
  <sheetProtection selectLockedCells="1"/>
  <mergeCells count="7">
    <mergeCell ref="D2:K2"/>
    <mergeCell ref="D93:K93"/>
    <mergeCell ref="D35:K35"/>
    <mergeCell ref="E28:H28"/>
    <mergeCell ref="E29:H29"/>
    <mergeCell ref="E30:H30"/>
    <mergeCell ref="E27:I27"/>
  </mergeCells>
  <conditionalFormatting sqref="R4:R5 Q4:Q25 R7:R12 R14:R18 R20:R21 R23:R26 L5:P8 L10:P25">
    <cfRule type="expression" dxfId="4" priority="9">
      <formula>$R$26=FALSE</formula>
    </cfRule>
  </conditionalFormatting>
  <conditionalFormatting sqref="I28:I30">
    <cfRule type="expression" dxfId="3" priority="1">
      <formula>$R$26=FALSE</formula>
    </cfRule>
  </conditionalFormatting>
  <dataValidations count="9">
    <dataValidation errorStyle="information" allowBlank="1" showInputMessage="1" showErrorMessage="1" error="El valor debe de ser numérico_x000a_" sqref="I28:I30" xr:uid="{F8332A6F-9C76-734A-8DB5-3EDF4DF441CF}"/>
    <dataValidation type="decimal" allowBlank="1" showInputMessage="1" showErrorMessage="1" error="El valor de la celda debe ser numérico" sqref="D37:K37" xr:uid="{00000000-0002-0000-0000-000002000000}">
      <formula1>-100000</formula1>
      <formula2>100000</formula2>
    </dataValidation>
    <dataValidation type="decimal" allowBlank="1" showInputMessage="1" showErrorMessage="1" error="El valor de la celda debe ser numérico" sqref="D40:K40" xr:uid="{00000000-0002-0000-0000-000003000000}">
      <formula1>-10000</formula1>
      <formula2>10000</formula2>
    </dataValidation>
    <dataValidation type="whole" errorStyle="information" allowBlank="1" showInputMessage="1" showErrorMessage="1" error="El valor de la celda debe de ser numérico" sqref="L15:P15 L21:P21 L5:P5 L11:P12" xr:uid="{0FFB8649-EFFC-D142-825C-E88019001E15}">
      <formula1>0</formula1>
      <formula2>100000000</formula2>
    </dataValidation>
    <dataValidation type="decimal" allowBlank="1" showInputMessage="1" showErrorMessage="1" error="El valor de la celda debe de ser numérico" sqref="D21:K21 D18:K18 D15:K15" xr:uid="{EC2337E7-0F80-954C-83DB-34D1DAC9846F}">
      <formula1>-100000</formula1>
      <formula2>100000000</formula2>
    </dataValidation>
    <dataValidation type="whole" operator="greaterThanOrEqual" allowBlank="1" showInputMessage="1" showErrorMessage="1" error="El valor de la celda debe ser numérico" sqref="D7:K7" xr:uid="{6081421A-4E18-AE42-B8EE-613D727B9AEB}">
      <formula1>0</formula1>
    </dataValidation>
    <dataValidation type="decimal" operator="greaterThanOrEqual" allowBlank="1" showInputMessage="1" showErrorMessage="1" error="El valor de la celda debe ser numérico" sqref="D5:K5 D25:P25 D11:K12" xr:uid="{019495DE-F344-194D-AEE9-2205A25E72BB}">
      <formula1>0</formula1>
    </dataValidation>
    <dataValidation type="decimal" errorStyle="information" allowBlank="1" showInputMessage="1" showErrorMessage="1" error="El valor de la celda debe de ser numérico" sqref="D22:P22" xr:uid="{11283AF7-5570-2A4A-8369-AD7CE0955C49}">
      <formula1>-10000</formula1>
      <formula2>100000000</formula2>
    </dataValidation>
    <dataValidation errorStyle="information" allowBlank="1" showInputMessage="1" showErrorMessage="1" error="El valor de la celda debe de ser numérico" sqref="L18:P18" xr:uid="{7F34F678-327A-4E42-BE04-A56CC5D6E066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11</xdr:col>
                    <xdr:colOff>723900</xdr:colOff>
                    <xdr:row>27</xdr:row>
                    <xdr:rowOff>12700</xdr:rowOff>
                  </from>
                  <to>
                    <xdr:col>12</xdr:col>
                    <xdr:colOff>101600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11</xdr:col>
                    <xdr:colOff>736600</xdr:colOff>
                    <xdr:row>26</xdr:row>
                    <xdr:rowOff>25400</xdr:rowOff>
                  </from>
                  <to>
                    <xdr:col>12</xdr:col>
                    <xdr:colOff>114300</xdr:colOff>
                    <xdr:row>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Drop Down 6">
              <controlPr locked="0" defaultSize="0" autoLine="0" autoPict="0">
                <anchor moveWithCells="1">
                  <from>
                    <xdr:col>2</xdr:col>
                    <xdr:colOff>584200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Drop Down 7">
              <controlPr locked="0" defaultSize="0" autoLine="0" autoPict="0">
                <anchor moveWithCells="1">
                  <from>
                    <xdr:col>2</xdr:col>
                    <xdr:colOff>596900</xdr:colOff>
                    <xdr:row>102</xdr:row>
                    <xdr:rowOff>25400</xdr:rowOff>
                  </from>
                  <to>
                    <xdr:col>3</xdr:col>
                    <xdr:colOff>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Drop Down 8">
              <controlPr defaultSize="0" autoLine="0" autoPict="0">
                <anchor moveWithCells="1">
                  <from>
                    <xdr:col>15</xdr:col>
                    <xdr:colOff>330200</xdr:colOff>
                    <xdr:row>78</xdr:row>
                    <xdr:rowOff>38100</xdr:rowOff>
                  </from>
                  <to>
                    <xdr:col>16</xdr:col>
                    <xdr:colOff>1003300</xdr:colOff>
                    <xdr:row>79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AD56"/>
  <sheetViews>
    <sheetView showGridLines="0" workbookViewId="0">
      <selection activeCell="D2" sqref="D2:K2"/>
    </sheetView>
  </sheetViews>
  <sheetFormatPr baseColWidth="10" defaultColWidth="9.1640625" defaultRowHeight="16" outlineLevelRow="1" x14ac:dyDescent="0.2"/>
  <cols>
    <col min="1" max="1" width="4.1640625" style="57" customWidth="1"/>
    <col min="2" max="2" width="8.33203125" style="57" customWidth="1"/>
    <col min="3" max="3" width="39.33203125" style="57" customWidth="1"/>
    <col min="4" max="4" width="10.33203125" style="57" customWidth="1"/>
    <col min="5" max="6" width="9.33203125" style="57" bestFit="1" customWidth="1"/>
    <col min="7" max="7" width="9.1640625" style="57"/>
    <col min="8" max="8" width="9.83203125" style="57" customWidth="1"/>
    <col min="9" max="10" width="9.1640625" style="57"/>
    <col min="11" max="11" width="12.6640625" style="57" bestFit="1" customWidth="1"/>
    <col min="12" max="12" width="12.5" style="57" customWidth="1"/>
    <col min="13" max="13" width="9.6640625" style="57" customWidth="1"/>
    <col min="14" max="14" width="12.6640625" style="57" bestFit="1" customWidth="1"/>
    <col min="15" max="15" width="13.83203125" style="57" customWidth="1"/>
    <col min="16" max="16" width="14.5" style="57" customWidth="1"/>
    <col min="17" max="16384" width="9.1640625" style="57"/>
  </cols>
  <sheetData>
    <row r="1" spans="3:20" s="48" customFormat="1" thickBot="1" x14ac:dyDescent="0.25"/>
    <row r="2" spans="3:20" s="48" customFormat="1" ht="97" customHeight="1" thickBot="1" x14ac:dyDescent="0.25">
      <c r="C2" s="356"/>
      <c r="D2" s="640" t="s">
        <v>185</v>
      </c>
      <c r="E2" s="641"/>
      <c r="F2" s="641"/>
      <c r="G2" s="641"/>
      <c r="H2" s="641"/>
      <c r="I2" s="641"/>
      <c r="J2" s="641"/>
      <c r="K2" s="642"/>
    </row>
    <row r="3" spans="3:20" ht="15" customHeight="1" thickBot="1" x14ac:dyDescent="0.25"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3:20" ht="15" customHeight="1" thickBot="1" x14ac:dyDescent="0.25">
      <c r="C4" s="449" t="s">
        <v>168</v>
      </c>
      <c r="D4" s="477">
        <f>'Income Statement_P&amp;L'!E3</f>
        <v>2015</v>
      </c>
      <c r="E4" s="450">
        <f>'Income Statement_P&amp;L'!F3</f>
        <v>2016</v>
      </c>
      <c r="F4" s="450">
        <f>'Income Statement_P&amp;L'!G3</f>
        <v>2017</v>
      </c>
      <c r="G4" s="450">
        <f>'Income Statement_P&amp;L'!H3</f>
        <v>2018</v>
      </c>
      <c r="H4" s="450">
        <f>'Income Statement_P&amp;L'!I3</f>
        <v>2019</v>
      </c>
      <c r="I4" s="450">
        <f>'Income Statement_P&amp;L'!J3</f>
        <v>2020</v>
      </c>
      <c r="J4" s="478">
        <f>'Income Statement_P&amp;L'!K3</f>
        <v>2021</v>
      </c>
      <c r="K4" s="418">
        <f t="shared" ref="K4:O4" si="0">J4+1</f>
        <v>2022</v>
      </c>
      <c r="L4" s="416">
        <f t="shared" si="0"/>
        <v>2023</v>
      </c>
      <c r="M4" s="416">
        <f t="shared" si="0"/>
        <v>2024</v>
      </c>
      <c r="N4" s="416">
        <f t="shared" si="0"/>
        <v>2025</v>
      </c>
      <c r="O4" s="419">
        <f t="shared" si="0"/>
        <v>2026</v>
      </c>
      <c r="R4" s="668" t="s">
        <v>172</v>
      </c>
      <c r="S4" s="669"/>
      <c r="T4" s="670"/>
    </row>
    <row r="5" spans="3:20" ht="17" thickBot="1" x14ac:dyDescent="0.25">
      <c r="C5" s="454" t="s">
        <v>148</v>
      </c>
      <c r="D5" s="456"/>
      <c r="E5" s="455"/>
      <c r="F5" s="455"/>
      <c r="G5" s="455"/>
      <c r="H5" s="455"/>
      <c r="I5" s="455"/>
      <c r="J5" s="457"/>
      <c r="K5" s="456"/>
      <c r="L5" s="455"/>
      <c r="M5" s="455"/>
      <c r="N5" s="455"/>
      <c r="O5" s="457"/>
      <c r="R5" s="671" t="str">
        <f>IFERROR(1/J21,"")</f>
        <v/>
      </c>
      <c r="S5" s="672"/>
      <c r="T5" s="673"/>
    </row>
    <row r="6" spans="3:20" ht="17" thickBot="1" x14ac:dyDescent="0.25">
      <c r="C6" s="296" t="s">
        <v>71</v>
      </c>
      <c r="D6" s="479"/>
      <c r="E6" s="452"/>
      <c r="F6" s="452"/>
      <c r="G6" s="452"/>
      <c r="H6" s="452"/>
      <c r="I6" s="453"/>
      <c r="J6" s="480"/>
      <c r="K6" s="243">
        <f>J6*'Income Statement_P&amp;L'!$I$28+J6</f>
        <v>0</v>
      </c>
      <c r="L6" s="82">
        <f>K6*'Income Statement_P&amp;L'!$I$28+K6</f>
        <v>0</v>
      </c>
      <c r="M6" s="82">
        <f>L6*'Income Statement_P&amp;L'!$I$28+L6</f>
        <v>0</v>
      </c>
      <c r="N6" s="82">
        <f>M6*'Income Statement_P&amp;L'!$I$28+M6</f>
        <v>0</v>
      </c>
      <c r="O6" s="83">
        <f>N6*'Income Statement_P&amp;L'!$I$28+N6</f>
        <v>0</v>
      </c>
    </row>
    <row r="7" spans="3:20" x14ac:dyDescent="0.2">
      <c r="C7" s="45" t="s">
        <v>149</v>
      </c>
      <c r="D7" s="431"/>
      <c r="E7" s="429"/>
      <c r="F7" s="429"/>
      <c r="G7" s="429"/>
      <c r="H7" s="429"/>
      <c r="I7" s="430"/>
      <c r="J7" s="481"/>
      <c r="K7" s="446"/>
      <c r="L7" s="447"/>
      <c r="M7" s="447"/>
      <c r="N7" s="447"/>
      <c r="O7" s="448"/>
      <c r="R7" s="255" t="s">
        <v>82</v>
      </c>
      <c r="S7" s="256"/>
      <c r="T7" s="257" t="str">
        <f>IFERROR(AVERAGE(E19:J19),"")</f>
        <v/>
      </c>
    </row>
    <row r="8" spans="3:20" ht="17" thickBot="1" x14ac:dyDescent="0.25">
      <c r="C8" s="45" t="s">
        <v>150</v>
      </c>
      <c r="D8" s="431"/>
      <c r="E8" s="429"/>
      <c r="F8" s="429"/>
      <c r="G8" s="429"/>
      <c r="H8" s="429"/>
      <c r="I8" s="430"/>
      <c r="J8" s="481"/>
      <c r="K8" s="243">
        <f>J8*'Income Statement_P&amp;L'!$I$28+J8</f>
        <v>0</v>
      </c>
      <c r="L8" s="82">
        <f>K8*'Income Statement_P&amp;L'!$I$28+K8</f>
        <v>0</v>
      </c>
      <c r="M8" s="82">
        <f>L8*'Income Statement_P&amp;L'!$I$28+L8</f>
        <v>0</v>
      </c>
      <c r="N8" s="82">
        <f>M8*'Income Statement_P&amp;L'!$I$28+M8</f>
        <v>0</v>
      </c>
      <c r="O8" s="83">
        <f>N8*'Income Statement_P&amp;L'!$I$28+N8</f>
        <v>0</v>
      </c>
      <c r="P8" s="55"/>
      <c r="Q8" s="267"/>
      <c r="R8" s="47" t="s">
        <v>83</v>
      </c>
      <c r="S8" s="258"/>
      <c r="T8" s="259" t="str">
        <f>IFERROR(AVERAGE(E20:J20),"")</f>
        <v/>
      </c>
    </row>
    <row r="9" spans="3:20" x14ac:dyDescent="0.2">
      <c r="C9" s="296" t="s">
        <v>142</v>
      </c>
      <c r="D9" s="431"/>
      <c r="E9" s="429"/>
      <c r="F9" s="429"/>
      <c r="G9" s="429"/>
      <c r="H9" s="429"/>
      <c r="I9" s="430"/>
      <c r="J9" s="481"/>
      <c r="K9" s="243">
        <f>J9*'Income Statement_P&amp;L'!$I$28+J9</f>
        <v>0</v>
      </c>
      <c r="L9" s="82">
        <f>K9*'Income Statement_P&amp;L'!$I$28+K9</f>
        <v>0</v>
      </c>
      <c r="M9" s="82">
        <f>L9*'Income Statement_P&amp;L'!$I$28+L9</f>
        <v>0</v>
      </c>
      <c r="N9" s="82">
        <f>M9*'Income Statement_P&amp;L'!$I$28+M9</f>
        <v>0</v>
      </c>
      <c r="O9" s="83">
        <f>N9*'Income Statement_P&amp;L'!$I$28+N9</f>
        <v>0</v>
      </c>
      <c r="P9" s="55"/>
      <c r="Q9" s="267"/>
    </row>
    <row r="10" spans="3:20" ht="17" thickBot="1" x14ac:dyDescent="0.25">
      <c r="C10" s="458" t="s">
        <v>137</v>
      </c>
      <c r="D10" s="482"/>
      <c r="E10" s="459"/>
      <c r="F10" s="459"/>
      <c r="G10" s="459"/>
      <c r="H10" s="459"/>
      <c r="I10" s="460"/>
      <c r="J10" s="483"/>
      <c r="K10" s="444">
        <f>(J10*'Income Statement_P&amp;L'!$I$28)+J10</f>
        <v>0</v>
      </c>
      <c r="L10" s="244">
        <f>(K10*'Income Statement_P&amp;L'!$I$28)+K10</f>
        <v>0</v>
      </c>
      <c r="M10" s="244">
        <f>(L10*'Income Statement_P&amp;L'!$I$28)+L10</f>
        <v>0</v>
      </c>
      <c r="N10" s="244">
        <f>(M10*'Income Statement_P&amp;L'!$I$28)+M10</f>
        <v>0</v>
      </c>
      <c r="O10" s="245">
        <f>(N10*'Income Statement_P&amp;L'!$I$28)+N10</f>
        <v>0</v>
      </c>
      <c r="P10" s="55"/>
      <c r="Q10" s="267"/>
    </row>
    <row r="11" spans="3:20" ht="17" thickBot="1" x14ac:dyDescent="0.25">
      <c r="C11" s="454" t="s">
        <v>151</v>
      </c>
      <c r="D11" s="456"/>
      <c r="E11" s="455"/>
      <c r="F11" s="455"/>
      <c r="G11" s="455"/>
      <c r="H11" s="455"/>
      <c r="I11" s="463"/>
      <c r="J11" s="484"/>
      <c r="K11" s="456"/>
      <c r="L11" s="455"/>
      <c r="M11" s="455"/>
      <c r="N11" s="455"/>
      <c r="O11" s="457"/>
    </row>
    <row r="12" spans="3:20" x14ac:dyDescent="0.2">
      <c r="C12" s="296" t="s">
        <v>153</v>
      </c>
      <c r="D12" s="485"/>
      <c r="E12" s="461"/>
      <c r="F12" s="461"/>
      <c r="G12" s="461"/>
      <c r="H12" s="461"/>
      <c r="I12" s="462"/>
      <c r="J12" s="486"/>
      <c r="K12" s="243">
        <f>J12*'Income Statement_P&amp;L'!$I$28+J12</f>
        <v>0</v>
      </c>
      <c r="L12" s="82">
        <f>K12*'Income Statement_P&amp;L'!$I$28+K12</f>
        <v>0</v>
      </c>
      <c r="M12" s="82">
        <f>L12*'Income Statement_P&amp;L'!$I$28+L12</f>
        <v>0</v>
      </c>
      <c r="N12" s="82">
        <f>M12*'Income Statement_P&amp;L'!$I$28+M12</f>
        <v>0</v>
      </c>
      <c r="O12" s="83">
        <f>N12*'Income Statement_P&amp;L'!$I$28+N12</f>
        <v>0</v>
      </c>
    </row>
    <row r="13" spans="3:20" x14ac:dyDescent="0.2">
      <c r="C13" s="296" t="s">
        <v>145</v>
      </c>
      <c r="D13" s="431"/>
      <c r="E13" s="429"/>
      <c r="F13" s="429"/>
      <c r="G13" s="429"/>
      <c r="H13" s="429"/>
      <c r="I13" s="430"/>
      <c r="J13" s="481"/>
      <c r="K13" s="432">
        <f>J13*'Income Statement_P&amp;L'!$I$28+J13</f>
        <v>0</v>
      </c>
      <c r="L13" s="433">
        <f>K13*'Income Statement_P&amp;L'!$I$28+K13</f>
        <v>0</v>
      </c>
      <c r="M13" s="433">
        <f>L13*'Income Statement_P&amp;L'!$I$28+L13</f>
        <v>0</v>
      </c>
      <c r="N13" s="433">
        <f>M13*'Income Statement_P&amp;L'!$I$28+M13</f>
        <v>0</v>
      </c>
      <c r="O13" s="434">
        <f>N13*'Income Statement_P&amp;L'!$I$28+N13</f>
        <v>0</v>
      </c>
    </row>
    <row r="14" spans="3:20" ht="17" thickBot="1" x14ac:dyDescent="0.25">
      <c r="C14" s="458" t="s">
        <v>138</v>
      </c>
      <c r="D14" s="435"/>
      <c r="E14" s="436"/>
      <c r="F14" s="436"/>
      <c r="G14" s="436"/>
      <c r="H14" s="436"/>
      <c r="I14" s="437"/>
      <c r="J14" s="487"/>
      <c r="K14" s="438">
        <f>(J14*'Income Statement_P&amp;L'!$I$28)+J14</f>
        <v>0</v>
      </c>
      <c r="L14" s="439">
        <f>(K14*'Income Statement_P&amp;L'!$I$28)+K14</f>
        <v>0</v>
      </c>
      <c r="M14" s="439">
        <f>(L14*'Income Statement_P&amp;L'!$I$28)+L14</f>
        <v>0</v>
      </c>
      <c r="N14" s="439">
        <f>(M14*'Income Statement_P&amp;L'!$I$28)+M14</f>
        <v>0</v>
      </c>
      <c r="O14" s="440">
        <f>(N14*'Income Statement_P&amp;L'!$I$28)+N14</f>
        <v>0</v>
      </c>
    </row>
    <row r="15" spans="3:20" x14ac:dyDescent="0.2">
      <c r="C15" s="296" t="s">
        <v>72</v>
      </c>
      <c r="D15" s="435"/>
      <c r="E15" s="436"/>
      <c r="F15" s="436"/>
      <c r="G15" s="436"/>
      <c r="H15" s="436"/>
      <c r="I15" s="437"/>
      <c r="J15" s="487"/>
      <c r="K15" s="441">
        <f>J15*'Income Statement_P&amp;L'!$I$28+J15</f>
        <v>0</v>
      </c>
      <c r="L15" s="442">
        <f>K15*'Income Statement_P&amp;L'!$I$28+K15</f>
        <v>0</v>
      </c>
      <c r="M15" s="442">
        <f>L15*'Income Statement_P&amp;L'!$I$28+L15</f>
        <v>0</v>
      </c>
      <c r="N15" s="442">
        <f>M15*'Income Statement_P&amp;L'!$I$28+M15</f>
        <v>0</v>
      </c>
      <c r="O15" s="443">
        <f>N15*'Income Statement_P&amp;L'!$I$28+N15</f>
        <v>0</v>
      </c>
    </row>
    <row r="16" spans="3:20" x14ac:dyDescent="0.2">
      <c r="C16" s="445" t="s">
        <v>152</v>
      </c>
      <c r="D16" s="426"/>
      <c r="E16" s="427"/>
      <c r="F16" s="427"/>
      <c r="G16" s="427"/>
      <c r="H16" s="427"/>
      <c r="I16" s="427"/>
      <c r="J16" s="428"/>
      <c r="K16" s="426"/>
      <c r="L16" s="427"/>
      <c r="M16" s="427"/>
      <c r="N16" s="427"/>
      <c r="O16" s="428"/>
    </row>
    <row r="17" spans="3:16" x14ac:dyDescent="0.2">
      <c r="C17" s="473" t="s">
        <v>146</v>
      </c>
      <c r="D17" s="246">
        <f>D6+D13+D9+D15</f>
        <v>0</v>
      </c>
      <c r="E17" s="53">
        <f t="shared" ref="E17:O17" si="1">E13-E6+E9+E15</f>
        <v>0</v>
      </c>
      <c r="F17" s="53">
        <f t="shared" si="1"/>
        <v>0</v>
      </c>
      <c r="G17" s="53">
        <f t="shared" si="1"/>
        <v>0</v>
      </c>
      <c r="H17" s="53">
        <f t="shared" si="1"/>
        <v>0</v>
      </c>
      <c r="I17" s="53">
        <f t="shared" si="1"/>
        <v>0</v>
      </c>
      <c r="J17" s="54">
        <f t="shared" si="1"/>
        <v>0</v>
      </c>
      <c r="K17" s="260">
        <f t="shared" si="1"/>
        <v>0</v>
      </c>
      <c r="L17" s="53">
        <f t="shared" si="1"/>
        <v>0</v>
      </c>
      <c r="M17" s="53">
        <f t="shared" si="1"/>
        <v>0</v>
      </c>
      <c r="N17" s="53">
        <f t="shared" si="1"/>
        <v>0</v>
      </c>
      <c r="O17" s="54">
        <f t="shared" si="1"/>
        <v>0</v>
      </c>
    </row>
    <row r="18" spans="3:16" ht="17" thickBot="1" x14ac:dyDescent="0.25">
      <c r="C18" s="474" t="s">
        <v>147</v>
      </c>
      <c r="D18" s="233">
        <f>D6+D13+D15</f>
        <v>0</v>
      </c>
      <c r="E18" s="52">
        <f t="shared" ref="E18:O18" si="2">E13-E6+E15</f>
        <v>0</v>
      </c>
      <c r="F18" s="52">
        <f t="shared" si="2"/>
        <v>0</v>
      </c>
      <c r="G18" s="52">
        <f t="shared" si="2"/>
        <v>0</v>
      </c>
      <c r="H18" s="52">
        <f t="shared" si="2"/>
        <v>0</v>
      </c>
      <c r="I18" s="52">
        <f t="shared" si="2"/>
        <v>0</v>
      </c>
      <c r="J18" s="488">
        <f t="shared" si="2"/>
        <v>0</v>
      </c>
      <c r="K18" s="268">
        <f t="shared" si="2"/>
        <v>0</v>
      </c>
      <c r="L18" s="269">
        <f t="shared" si="2"/>
        <v>0</v>
      </c>
      <c r="M18" s="269">
        <f t="shared" si="2"/>
        <v>0</v>
      </c>
      <c r="N18" s="269">
        <f t="shared" si="2"/>
        <v>0</v>
      </c>
      <c r="O18" s="270">
        <f t="shared" si="2"/>
        <v>0</v>
      </c>
    </row>
    <row r="19" spans="3:16" ht="17" x14ac:dyDescent="0.2">
      <c r="C19" s="475" t="s">
        <v>62</v>
      </c>
      <c r="D19" s="261" t="str">
        <f>IFERROR('Income Statement_P&amp;L'!E22/D15,"")</f>
        <v/>
      </c>
      <c r="E19" s="240" t="str">
        <f>IFERROR('Income Statement_P&amp;L'!F22/E15,"")</f>
        <v/>
      </c>
      <c r="F19" s="240" t="str">
        <f>IFERROR('Income Statement_P&amp;L'!G22/F15,"")</f>
        <v/>
      </c>
      <c r="G19" s="240" t="str">
        <f>IFERROR('Income Statement_P&amp;L'!H22/G15,"")</f>
        <v/>
      </c>
      <c r="H19" s="240" t="str">
        <f>IFERROR('Income Statement_P&amp;L'!I22/H15,"")</f>
        <v/>
      </c>
      <c r="I19" s="240" t="str">
        <f>IFERROR('Income Statement_P&amp;L'!J22/I15,"")</f>
        <v/>
      </c>
      <c r="J19" s="262" t="str">
        <f>IFERROR('Income Statement_P&amp;L'!K22/J15,"")</f>
        <v/>
      </c>
      <c r="K19" s="261" t="str">
        <f>IFERROR('Income Statement_P&amp;L'!L22/K15,"")</f>
        <v/>
      </c>
      <c r="L19" s="240" t="str">
        <f>IFERROR('Income Statement_P&amp;L'!M22/L15,"")</f>
        <v/>
      </c>
      <c r="M19" s="240" t="str">
        <f>IFERROR('Income Statement_P&amp;L'!N22/M15,"")</f>
        <v/>
      </c>
      <c r="N19" s="240" t="str">
        <f>IFERROR('Income Statement_P&amp;L'!O22/N15,"")</f>
        <v/>
      </c>
      <c r="O19" s="262" t="str">
        <f>IFERROR('Income Statement_P&amp;L'!P22/O15,"")</f>
        <v/>
      </c>
    </row>
    <row r="20" spans="3:16" x14ac:dyDescent="0.2">
      <c r="C20" s="475" t="s">
        <v>63</v>
      </c>
      <c r="D20" s="263" t="str">
        <f>IFERROR('Income Statement_P&amp;L'!E12/D18,"")</f>
        <v/>
      </c>
      <c r="E20" s="241" t="str">
        <f>IFERROR('Income Statement_P&amp;L'!F12/E18,"")</f>
        <v/>
      </c>
      <c r="F20" s="241" t="str">
        <f>IFERROR('Income Statement_P&amp;L'!G12/F18,"")</f>
        <v/>
      </c>
      <c r="G20" s="241" t="str">
        <f>IFERROR('Income Statement_P&amp;L'!H12/G18,"")</f>
        <v/>
      </c>
      <c r="H20" s="241" t="str">
        <f>IFERROR('Income Statement_P&amp;L'!I12/H18,"")</f>
        <v/>
      </c>
      <c r="I20" s="241" t="str">
        <f>IFERROR('Income Statement_P&amp;L'!J12/I18,"")</f>
        <v/>
      </c>
      <c r="J20" s="264" t="str">
        <f>IFERROR('Income Statement_P&amp;L'!K12/J18,"")</f>
        <v/>
      </c>
      <c r="K20" s="263" t="str">
        <f>IFERROR('Income Statement_P&amp;L'!L12/K18,"")</f>
        <v/>
      </c>
      <c r="L20" s="241" t="str">
        <f>IFERROR('Income Statement_P&amp;L'!M12/L18,"")</f>
        <v/>
      </c>
      <c r="M20" s="241" t="str">
        <f>IFERROR('Income Statement_P&amp;L'!N12/M18,"")</f>
        <v/>
      </c>
      <c r="N20" s="241" t="str">
        <f>IFERROR('Income Statement_P&amp;L'!O12/N18,"")</f>
        <v/>
      </c>
      <c r="O20" s="264" t="str">
        <f>IFERROR('Income Statement_P&amp;L'!P12/O18,"")</f>
        <v/>
      </c>
    </row>
    <row r="21" spans="3:16" ht="17" thickBot="1" x14ac:dyDescent="0.25">
      <c r="C21" s="476" t="s">
        <v>64</v>
      </c>
      <c r="D21" s="265" t="str">
        <f>IFERROR('Income Statement_P&amp;L'!E12/D17,"")</f>
        <v/>
      </c>
      <c r="E21" s="242" t="str">
        <f>IFERROR('Income Statement_P&amp;L'!F12/E17,"")</f>
        <v/>
      </c>
      <c r="F21" s="242" t="str">
        <f>IFERROR('Income Statement_P&amp;L'!G12/F17,"")</f>
        <v/>
      </c>
      <c r="G21" s="242" t="str">
        <f>IFERROR('Income Statement_P&amp;L'!H12/G17,"")</f>
        <v/>
      </c>
      <c r="H21" s="242" t="str">
        <f>IFERROR('Income Statement_P&amp;L'!I12/H17,"")</f>
        <v/>
      </c>
      <c r="I21" s="242" t="str">
        <f>IFERROR('Income Statement_P&amp;L'!J12/I17,"")</f>
        <v/>
      </c>
      <c r="J21" s="266" t="str">
        <f>IFERROR('Income Statement_P&amp;L'!K12/J17,"")</f>
        <v/>
      </c>
      <c r="K21" s="265" t="str">
        <f>IFERROR('Income Statement_P&amp;L'!L12/K17,"")</f>
        <v/>
      </c>
      <c r="L21" s="242" t="str">
        <f>IFERROR('Income Statement_P&amp;L'!M12/L17,"")</f>
        <v/>
      </c>
      <c r="M21" s="242" t="str">
        <f>IFERROR('Income Statement_P&amp;L'!N12/M17,"")</f>
        <v/>
      </c>
      <c r="N21" s="242" t="str">
        <f>IFERROR('Income Statement_P&amp;L'!O12/N17,"")</f>
        <v/>
      </c>
      <c r="O21" s="266" t="str">
        <f>IFERROR('Income Statement_P&amp;L'!P12/O17,"")</f>
        <v/>
      </c>
    </row>
    <row r="22" spans="3:16" ht="17" thickBot="1" x14ac:dyDescent="0.25">
      <c r="C22" s="469" t="s">
        <v>176</v>
      </c>
      <c r="D22" s="470" t="str">
        <f t="shared" ref="D22:I22" si="3">IFERROR(D10/D14,"")</f>
        <v/>
      </c>
      <c r="E22" s="471" t="str">
        <f t="shared" si="3"/>
        <v/>
      </c>
      <c r="F22" s="471" t="str">
        <f t="shared" si="3"/>
        <v/>
      </c>
      <c r="G22" s="471" t="str">
        <f t="shared" si="3"/>
        <v/>
      </c>
      <c r="H22" s="471" t="str">
        <f t="shared" si="3"/>
        <v/>
      </c>
      <c r="I22" s="471" t="str">
        <f t="shared" si="3"/>
        <v/>
      </c>
      <c r="J22" s="472" t="str">
        <f>IFERROR(J10/J14,"")</f>
        <v/>
      </c>
      <c r="K22" s="588" t="str">
        <f t="shared" ref="K22:O22" si="4">IFERROR(K10/K14,"")</f>
        <v/>
      </c>
      <c r="L22" s="589" t="str">
        <f t="shared" si="4"/>
        <v/>
      </c>
      <c r="M22" s="589" t="str">
        <f t="shared" si="4"/>
        <v/>
      </c>
      <c r="N22" s="589" t="str">
        <f t="shared" si="4"/>
        <v/>
      </c>
      <c r="O22" s="590" t="str">
        <f t="shared" si="4"/>
        <v/>
      </c>
    </row>
    <row r="23" spans="3:16" outlineLevel="1" x14ac:dyDescent="0.2">
      <c r="M23" s="60"/>
      <c r="N23" s="60"/>
      <c r="O23" s="60"/>
    </row>
    <row r="24" spans="3:16" ht="17" outlineLevel="1" thickBot="1" x14ac:dyDescent="0.25"/>
    <row r="25" spans="3:16" ht="17" outlineLevel="1" thickBot="1" x14ac:dyDescent="0.25">
      <c r="C25" s="665" t="s">
        <v>177</v>
      </c>
      <c r="D25" s="666"/>
      <c r="E25" s="666"/>
      <c r="F25" s="666"/>
      <c r="G25" s="666"/>
      <c r="H25" s="666"/>
      <c r="I25" s="666"/>
      <c r="J25" s="666"/>
      <c r="K25" s="666"/>
      <c r="L25" s="666"/>
      <c r="M25" s="666"/>
      <c r="N25" s="666"/>
      <c r="O25" s="666"/>
      <c r="P25" s="667"/>
    </row>
    <row r="26" spans="3:16" ht="17" outlineLevel="1" thickBot="1" x14ac:dyDescent="0.25">
      <c r="C26" s="280"/>
      <c r="D26" s="281"/>
      <c r="E26" s="417">
        <f>'Income Statement_P&amp;L'!E3</f>
        <v>2015</v>
      </c>
      <c r="F26" s="417">
        <f>'Income Statement_P&amp;L'!F3</f>
        <v>2016</v>
      </c>
      <c r="G26" s="417">
        <f>'Income Statement_P&amp;L'!G3</f>
        <v>2017</v>
      </c>
      <c r="H26" s="417">
        <f>'Income Statement_P&amp;L'!H3</f>
        <v>2018</v>
      </c>
      <c r="I26" s="417">
        <f>'Income Statement_P&amp;L'!I3</f>
        <v>2019</v>
      </c>
      <c r="J26" s="417">
        <f>'Income Statement_P&amp;L'!J3</f>
        <v>2020</v>
      </c>
      <c r="K26" s="417">
        <f>'Income Statement_P&amp;L'!K3</f>
        <v>2021</v>
      </c>
      <c r="L26" s="418">
        <f t="shared" ref="L26" si="5">K26+1</f>
        <v>2022</v>
      </c>
      <c r="M26" s="416">
        <f t="shared" ref="M26" si="6">L26+1</f>
        <v>2023</v>
      </c>
      <c r="N26" s="416">
        <f t="shared" ref="N26" si="7">M26+1</f>
        <v>2024</v>
      </c>
      <c r="O26" s="416">
        <f t="shared" ref="O26" si="8">N26+1</f>
        <v>2025</v>
      </c>
      <c r="P26" s="419">
        <f t="shared" ref="P26" si="9">O26+1</f>
        <v>2026</v>
      </c>
    </row>
    <row r="27" spans="3:16" outlineLevel="1" x14ac:dyDescent="0.2">
      <c r="C27" s="663" t="s">
        <v>39</v>
      </c>
      <c r="D27" s="664"/>
      <c r="E27" s="277">
        <f t="shared" ref="E27:K27" si="10">D7</f>
        <v>0</v>
      </c>
      <c r="F27" s="277">
        <f t="shared" si="10"/>
        <v>0</v>
      </c>
      <c r="G27" s="277">
        <f t="shared" si="10"/>
        <v>0</v>
      </c>
      <c r="H27" s="277">
        <f t="shared" si="10"/>
        <v>0</v>
      </c>
      <c r="I27" s="277">
        <f t="shared" si="10"/>
        <v>0</v>
      </c>
      <c r="J27" s="277">
        <f t="shared" si="10"/>
        <v>0</v>
      </c>
      <c r="K27" s="277">
        <f t="shared" si="10"/>
        <v>0</v>
      </c>
      <c r="L27" s="421">
        <f>K7</f>
        <v>0</v>
      </c>
      <c r="M27" s="277">
        <f>L7</f>
        <v>0</v>
      </c>
      <c r="N27" s="277">
        <f>M7</f>
        <v>0</v>
      </c>
      <c r="O27" s="277">
        <f>N7</f>
        <v>0</v>
      </c>
      <c r="P27" s="278">
        <f>O7</f>
        <v>0</v>
      </c>
    </row>
    <row r="28" spans="3:16" outlineLevel="1" x14ac:dyDescent="0.2">
      <c r="C28" s="674" t="s">
        <v>141</v>
      </c>
      <c r="D28" s="675"/>
      <c r="E28" s="271"/>
      <c r="F28" s="271" t="str">
        <f t="shared" ref="F28:J28" si="11">IFERROR((F27-E27)/E27,"")</f>
        <v/>
      </c>
      <c r="G28" s="271" t="str">
        <f t="shared" si="11"/>
        <v/>
      </c>
      <c r="H28" s="271" t="str">
        <f t="shared" si="11"/>
        <v/>
      </c>
      <c r="I28" s="271" t="str">
        <f t="shared" si="11"/>
        <v/>
      </c>
      <c r="J28" s="271" t="str">
        <f t="shared" si="11"/>
        <v/>
      </c>
      <c r="K28" s="271" t="str">
        <f>IFERROR((K27-J27)/J27,"")</f>
        <v/>
      </c>
      <c r="L28" s="422" t="str">
        <f t="shared" ref="L28" si="12">IFERROR((L27-K27)/K27,"")</f>
        <v/>
      </c>
      <c r="M28" s="271" t="str">
        <f t="shared" ref="M28" si="13">IFERROR((M27-L27)/L27,"")</f>
        <v/>
      </c>
      <c r="N28" s="271" t="str">
        <f t="shared" ref="N28" si="14">IFERROR((N27-M27)/M27,"")</f>
        <v/>
      </c>
      <c r="O28" s="271" t="str">
        <f t="shared" ref="O28" si="15">IFERROR((O27-N27)/N27,"")</f>
        <v/>
      </c>
      <c r="P28" s="273" t="str">
        <f t="shared" ref="P28" si="16">IFERROR((P27-O27)/O27,"")</f>
        <v/>
      </c>
    </row>
    <row r="29" spans="3:16" x14ac:dyDescent="0.2">
      <c r="C29" s="655" t="s">
        <v>65</v>
      </c>
      <c r="D29" s="656"/>
      <c r="E29" s="272" t="str">
        <f>IFERROR((E27/'Income Statement_P&amp;L'!E7)*365,"")</f>
        <v/>
      </c>
      <c r="F29" s="272" t="str">
        <f>IFERROR((F27/'Income Statement_P&amp;L'!F7)*365,"")</f>
        <v/>
      </c>
      <c r="G29" s="272" t="str">
        <f>IFERROR((G27/'Income Statement_P&amp;L'!G7)*365,"")</f>
        <v/>
      </c>
      <c r="H29" s="272" t="str">
        <f>IFERROR((H27/'Income Statement_P&amp;L'!H7)*365,"")</f>
        <v/>
      </c>
      <c r="I29" s="272" t="str">
        <f>IFERROR((I27/'Income Statement_P&amp;L'!I7)*365,"")</f>
        <v/>
      </c>
      <c r="J29" s="272" t="str">
        <f>IFERROR((J27/'Income Statement_P&amp;L'!J7)*365,"")</f>
        <v/>
      </c>
      <c r="K29" s="272" t="str">
        <f>IFERROR((K27/'Income Statement_P&amp;L'!K7)*365,"")</f>
        <v/>
      </c>
      <c r="L29" s="423" t="str">
        <f>IFERROR((L27/'Income Statement_P&amp;L'!L7)*365,"")</f>
        <v/>
      </c>
      <c r="M29" s="272" t="str">
        <f>IFERROR((M27/'Income Statement_P&amp;L'!M7)*365,"")</f>
        <v/>
      </c>
      <c r="N29" s="272" t="str">
        <f>IFERROR((N27/'Income Statement_P&amp;L'!N7)*365,"")</f>
        <v/>
      </c>
      <c r="O29" s="272" t="str">
        <f>IFERROR((O27/'Income Statement_P&amp;L'!O7)*365,"")</f>
        <v/>
      </c>
      <c r="P29" s="274" t="str">
        <f>IFERROR((P27/'Income Statement_P&amp;L'!P7)*365,"")</f>
        <v/>
      </c>
    </row>
    <row r="30" spans="3:16" x14ac:dyDescent="0.2">
      <c r="C30" s="663" t="s">
        <v>40</v>
      </c>
      <c r="D30" s="664"/>
      <c r="E30" s="279">
        <f t="shared" ref="E30:K30" si="17">D8</f>
        <v>0</v>
      </c>
      <c r="F30" s="279">
        <f t="shared" si="17"/>
        <v>0</v>
      </c>
      <c r="G30" s="279">
        <f t="shared" si="17"/>
        <v>0</v>
      </c>
      <c r="H30" s="279">
        <f t="shared" si="17"/>
        <v>0</v>
      </c>
      <c r="I30" s="279">
        <f t="shared" si="17"/>
        <v>0</v>
      </c>
      <c r="J30" s="279">
        <f t="shared" si="17"/>
        <v>0</v>
      </c>
      <c r="K30" s="279">
        <f t="shared" si="17"/>
        <v>0</v>
      </c>
      <c r="L30" s="424">
        <f>K8</f>
        <v>0</v>
      </c>
      <c r="M30" s="279">
        <f>L8</f>
        <v>0</v>
      </c>
      <c r="N30" s="279">
        <f>M8</f>
        <v>0</v>
      </c>
      <c r="O30" s="279">
        <f>N8</f>
        <v>0</v>
      </c>
      <c r="P30" s="420">
        <f>O8</f>
        <v>0</v>
      </c>
    </row>
    <row r="31" spans="3:16" x14ac:dyDescent="0.2">
      <c r="C31" s="657" t="s">
        <v>58</v>
      </c>
      <c r="D31" s="658"/>
      <c r="E31" s="272" t="str">
        <f>IFERROR((E30/'Income Statement_P&amp;L'!E5)*365,"")</f>
        <v/>
      </c>
      <c r="F31" s="272" t="str">
        <f>IFERROR((F30/'Income Statement_P&amp;L'!F5)*365,"")</f>
        <v/>
      </c>
      <c r="G31" s="272" t="str">
        <f>IFERROR((G30/'Income Statement_P&amp;L'!G5)*365,"")</f>
        <v/>
      </c>
      <c r="H31" s="272" t="str">
        <f>IFERROR((H30/'Income Statement_P&amp;L'!H5)*365,"")</f>
        <v/>
      </c>
      <c r="I31" s="272" t="str">
        <f>IFERROR((I30/'Income Statement_P&amp;L'!I5)*365,"")</f>
        <v/>
      </c>
      <c r="J31" s="272" t="str">
        <f>IFERROR((J30/'Income Statement_P&amp;L'!J5)*365,"")</f>
        <v/>
      </c>
      <c r="K31" s="272" t="str">
        <f>IFERROR((K30/'Income Statement_P&amp;L'!K5)*365,"")</f>
        <v/>
      </c>
      <c r="L31" s="423" t="str">
        <f>IFERROR((L30/'Income Statement_P&amp;L'!L5)*365,"")</f>
        <v/>
      </c>
      <c r="M31" s="272" t="str">
        <f>IFERROR((M30/'Income Statement_P&amp;L'!M5)*365,"")</f>
        <v/>
      </c>
      <c r="N31" s="272" t="str">
        <f>IFERROR((N30/'Income Statement_P&amp;L'!N5)*365,"")</f>
        <v/>
      </c>
      <c r="O31" s="272" t="str">
        <f>IFERROR((O30/'Income Statement_P&amp;L'!O5)*365,"")</f>
        <v/>
      </c>
      <c r="P31" s="274" t="str">
        <f>IFERROR((P30/'Income Statement_P&amp;L'!P5)*365,"")</f>
        <v/>
      </c>
    </row>
    <row r="32" spans="3:16" x14ac:dyDescent="0.2">
      <c r="C32" s="659" t="s">
        <v>141</v>
      </c>
      <c r="D32" s="660"/>
      <c r="E32" s="271"/>
      <c r="F32" s="271" t="str">
        <f t="shared" ref="F32:K32" si="18">IFERROR((F30-E30)/E30,"")</f>
        <v/>
      </c>
      <c r="G32" s="271" t="str">
        <f t="shared" si="18"/>
        <v/>
      </c>
      <c r="H32" s="271" t="str">
        <f t="shared" si="18"/>
        <v/>
      </c>
      <c r="I32" s="271" t="str">
        <f t="shared" si="18"/>
        <v/>
      </c>
      <c r="J32" s="271" t="str">
        <f t="shared" si="18"/>
        <v/>
      </c>
      <c r="K32" s="271" t="str">
        <f t="shared" si="18"/>
        <v/>
      </c>
      <c r="L32" s="422" t="str">
        <f t="shared" ref="L32" si="19">IFERROR((L30-K30)/K30,"")</f>
        <v/>
      </c>
      <c r="M32" s="271" t="str">
        <f t="shared" ref="M32" si="20">IFERROR((M30-L30)/L30,"")</f>
        <v/>
      </c>
      <c r="N32" s="271" t="str">
        <f t="shared" ref="N32" si="21">IFERROR((N30-M30)/M30,"")</f>
        <v/>
      </c>
      <c r="O32" s="271" t="str">
        <f t="shared" ref="O32" si="22">IFERROR((O30-N30)/N30,"")</f>
        <v/>
      </c>
      <c r="P32" s="273" t="str">
        <f t="shared" ref="P32" si="23">IFERROR((P30-O30)/O30,"")</f>
        <v/>
      </c>
    </row>
    <row r="33" spans="3:30" x14ac:dyDescent="0.2">
      <c r="C33" s="663" t="s">
        <v>56</v>
      </c>
      <c r="D33" s="664"/>
      <c r="E33" s="279">
        <f t="shared" ref="E33:K33" si="24">D12</f>
        <v>0</v>
      </c>
      <c r="F33" s="279">
        <f t="shared" si="24"/>
        <v>0</v>
      </c>
      <c r="G33" s="279">
        <f t="shared" si="24"/>
        <v>0</v>
      </c>
      <c r="H33" s="279">
        <f t="shared" si="24"/>
        <v>0</v>
      </c>
      <c r="I33" s="279">
        <f t="shared" si="24"/>
        <v>0</v>
      </c>
      <c r="J33" s="279">
        <f t="shared" si="24"/>
        <v>0</v>
      </c>
      <c r="K33" s="279">
        <f t="shared" si="24"/>
        <v>0</v>
      </c>
      <c r="L33" s="424">
        <f>K12</f>
        <v>0</v>
      </c>
      <c r="M33" s="279">
        <f>L12</f>
        <v>0</v>
      </c>
      <c r="N33" s="279">
        <f>M12</f>
        <v>0</v>
      </c>
      <c r="O33" s="279">
        <f>N12</f>
        <v>0</v>
      </c>
      <c r="P33" s="420">
        <f>O12</f>
        <v>0</v>
      </c>
      <c r="Q33" s="137" t="str">
        <f>IFERROR(AVERAGE(E19:J19),"")</f>
        <v/>
      </c>
      <c r="R33" s="137" t="str">
        <f>IFERROR(AVERAGE(E19:J19),"")</f>
        <v/>
      </c>
      <c r="S33" s="137" t="str">
        <f>IFERROR(AVERAGE(E19:J19),"")</f>
        <v/>
      </c>
      <c r="T33" s="234" t="str">
        <f>IFERROR(AVERAGE(E19:J19),"")</f>
        <v/>
      </c>
      <c r="U33" s="234" t="str">
        <f>IFERROR(AVERAGE(E19:J19),"")</f>
        <v/>
      </c>
      <c r="V33" s="234" t="str">
        <f>IFERROR(AVERAGE(E19:J19),"")</f>
        <v/>
      </c>
      <c r="W33" s="234" t="str">
        <f>IFERROR(AVERAGE(E19:J19),"")</f>
        <v/>
      </c>
      <c r="X33" s="234" t="str">
        <f>IFERROR(AVERAGE(E19:J19),"")</f>
        <v/>
      </c>
      <c r="Y33" s="234" t="str">
        <f>IFERROR(AVERAGE(E19:J19),"")</f>
        <v/>
      </c>
      <c r="Z33" s="234" t="str">
        <f>IFERROR(AVERAGE(E19:J19),"")</f>
        <v/>
      </c>
      <c r="AA33" s="232"/>
      <c r="AB33" s="232"/>
      <c r="AC33" s="232"/>
      <c r="AD33" s="232"/>
    </row>
    <row r="34" spans="3:30" ht="17" thickBot="1" x14ac:dyDescent="0.25">
      <c r="C34" s="661" t="s">
        <v>57</v>
      </c>
      <c r="D34" s="662"/>
      <c r="E34" s="275" t="str">
        <f>IFERROR((E33/'Income Statement_P&amp;L'!E7)*365,"")</f>
        <v/>
      </c>
      <c r="F34" s="275" t="str">
        <f>IFERROR((F33/'Income Statement_P&amp;L'!F7)*365,"")</f>
        <v/>
      </c>
      <c r="G34" s="275" t="str">
        <f>IFERROR((G33/'Income Statement_P&amp;L'!G7)*365,"")</f>
        <v/>
      </c>
      <c r="H34" s="275" t="str">
        <f>IFERROR((H33/'Income Statement_P&amp;L'!H7)*365,"")</f>
        <v/>
      </c>
      <c r="I34" s="275" t="str">
        <f>IFERROR((I33/'Income Statement_P&amp;L'!I7)*365,"")</f>
        <v/>
      </c>
      <c r="J34" s="275" t="str">
        <f>IFERROR((J33/'Income Statement_P&amp;L'!J7)*365,"")</f>
        <v/>
      </c>
      <c r="K34" s="275" t="str">
        <f>IFERROR((K33/'Income Statement_P&amp;L'!K7)*365,"")</f>
        <v/>
      </c>
      <c r="L34" s="425" t="str">
        <f>IFERROR((L33/'Income Statement_P&amp;L'!L7)*365,"")</f>
        <v/>
      </c>
      <c r="M34" s="275" t="str">
        <f>IFERROR((M33/'Income Statement_P&amp;L'!M7)*365,"")</f>
        <v/>
      </c>
      <c r="N34" s="275" t="str">
        <f>IFERROR((N33/'Income Statement_P&amp;L'!N7)*365,"")</f>
        <v/>
      </c>
      <c r="O34" s="275" t="str">
        <f>IFERROR((O33/'Income Statement_P&amp;L'!O7)*365,"")</f>
        <v/>
      </c>
      <c r="P34" s="276" t="str">
        <f>IFERROR((P33/'Income Statement_P&amp;L'!P7)*365,"")</f>
        <v/>
      </c>
      <c r="Q34" s="137" t="str">
        <f>IFERROR(AVERAGE(E20:J20),"")</f>
        <v/>
      </c>
      <c r="R34" s="137" t="str">
        <f>IFERROR(AVERAGE(E20:J20),"")</f>
        <v/>
      </c>
      <c r="S34" s="137" t="str">
        <f>IFERROR(AVERAGE(E20:J20),"")</f>
        <v/>
      </c>
      <c r="T34" s="234" t="str">
        <f>IFERROR(AVERAGE(E20:J20),"")</f>
        <v/>
      </c>
      <c r="U34" s="234" t="str">
        <f>IFERROR(AVERAGE(E20:J20),"")</f>
        <v/>
      </c>
      <c r="V34" s="234" t="str">
        <f>IFERROR(AVERAGE(E20:J20),"")</f>
        <v/>
      </c>
      <c r="W34" s="234" t="str">
        <f>IFERROR(AVERAGE(E20:J20),"")</f>
        <v/>
      </c>
      <c r="X34" s="234" t="str">
        <f>IFERROR(AVERAGE(E20:J20),"")</f>
        <v/>
      </c>
      <c r="Y34" s="234" t="str">
        <f>IFERROR(AVERAGE(E20:J20),"")</f>
        <v/>
      </c>
      <c r="Z34" s="234" t="str">
        <f>IFERROR(AVERAGE(E20:J20),"")</f>
        <v/>
      </c>
      <c r="AA34" s="232"/>
      <c r="AB34" s="232"/>
      <c r="AC34" s="232"/>
      <c r="AD34" s="232"/>
    </row>
    <row r="35" spans="3:30" x14ac:dyDescent="0.2">
      <c r="C35" s="56" t="s">
        <v>177</v>
      </c>
      <c r="D35" s="134"/>
      <c r="E35" s="133">
        <f t="shared" ref="E35:J35" si="25">(E30+E27)-(E33)</f>
        <v>0</v>
      </c>
      <c r="F35" s="133">
        <f t="shared" si="25"/>
        <v>0</v>
      </c>
      <c r="G35" s="133">
        <f t="shared" si="25"/>
        <v>0</v>
      </c>
      <c r="H35" s="133">
        <f t="shared" si="25"/>
        <v>0</v>
      </c>
      <c r="I35" s="133">
        <f t="shared" si="25"/>
        <v>0</v>
      </c>
      <c r="J35" s="133">
        <f t="shared" si="25"/>
        <v>0</v>
      </c>
      <c r="K35" s="133">
        <f>(K30+K27)-(K33)</f>
        <v>0</v>
      </c>
      <c r="L35" s="133">
        <f t="shared" ref="L35:P35" si="26">(L30+L27)-(L33)</f>
        <v>0</v>
      </c>
      <c r="M35" s="133">
        <f t="shared" si="26"/>
        <v>0</v>
      </c>
      <c r="N35" s="133">
        <f t="shared" si="26"/>
        <v>0</v>
      </c>
      <c r="O35" s="133">
        <f t="shared" si="26"/>
        <v>0</v>
      </c>
      <c r="P35" s="133">
        <f t="shared" si="26"/>
        <v>0</v>
      </c>
      <c r="Q35" s="136"/>
      <c r="R35" s="136"/>
      <c r="S35" s="136"/>
    </row>
    <row r="36" spans="3:30" x14ac:dyDescent="0.2">
      <c r="C36" s="56" t="s">
        <v>41</v>
      </c>
      <c r="D36" s="134"/>
      <c r="E36" s="135">
        <f t="shared" ref="E36:J36" si="27">((E27+E30)-(E33))-((D27+D30)-(D33))</f>
        <v>0</v>
      </c>
      <c r="F36" s="135">
        <f t="shared" si="27"/>
        <v>0</v>
      </c>
      <c r="G36" s="135">
        <f t="shared" si="27"/>
        <v>0</v>
      </c>
      <c r="H36" s="135">
        <f t="shared" si="27"/>
        <v>0</v>
      </c>
      <c r="I36" s="135">
        <f t="shared" si="27"/>
        <v>0</v>
      </c>
      <c r="J36" s="135">
        <f t="shared" si="27"/>
        <v>0</v>
      </c>
      <c r="K36" s="135">
        <f>((K27+K30)-(K33))-((J27+J30)-(J33))</f>
        <v>0</v>
      </c>
      <c r="L36" s="135">
        <f>((L27+L30)-(L33))-((K27+K30)-(K33))</f>
        <v>0</v>
      </c>
      <c r="M36" s="135">
        <f t="shared" ref="M36:P36" si="28">((M27+M30)-(M33))-((L27+L30)-(L33))</f>
        <v>0</v>
      </c>
      <c r="N36" s="135">
        <f t="shared" si="28"/>
        <v>0</v>
      </c>
      <c r="O36" s="135">
        <f t="shared" si="28"/>
        <v>0</v>
      </c>
      <c r="P36" s="135">
        <f t="shared" si="28"/>
        <v>0</v>
      </c>
    </row>
    <row r="37" spans="3:30" x14ac:dyDescent="0.2">
      <c r="C37" s="130" t="s">
        <v>81</v>
      </c>
      <c r="D37" s="131"/>
      <c r="E37" s="135" t="str">
        <f t="shared" ref="E37:K37" si="29">IFERROR((E29+E31)-E34,"")</f>
        <v/>
      </c>
      <c r="F37" s="135" t="str">
        <f t="shared" si="29"/>
        <v/>
      </c>
      <c r="G37" s="135" t="str">
        <f t="shared" si="29"/>
        <v/>
      </c>
      <c r="H37" s="135" t="str">
        <f t="shared" si="29"/>
        <v/>
      </c>
      <c r="I37" s="135" t="str">
        <f t="shared" si="29"/>
        <v/>
      </c>
      <c r="J37" s="135" t="str">
        <f t="shared" si="29"/>
        <v/>
      </c>
      <c r="K37" s="135" t="str">
        <f t="shared" si="29"/>
        <v/>
      </c>
      <c r="L37" s="132"/>
      <c r="M37" s="132"/>
      <c r="N37" s="132"/>
      <c r="O37" s="132"/>
      <c r="P37" s="132"/>
    </row>
    <row r="38" spans="3:30" x14ac:dyDescent="0.2">
      <c r="C38" s="129" t="s">
        <v>38</v>
      </c>
      <c r="D38" s="282"/>
      <c r="E38" s="283" t="str">
        <f>IFERROR((E13-E6)/E15,"")</f>
        <v/>
      </c>
      <c r="F38" s="283" t="str">
        <f t="shared" ref="F38:P38" si="30">IFERROR((F13-F6)/F15,"")</f>
        <v/>
      </c>
      <c r="G38" s="283" t="str">
        <f t="shared" si="30"/>
        <v/>
      </c>
      <c r="H38" s="283" t="str">
        <f>IFERROR((H13-H6)/H15,"")</f>
        <v/>
      </c>
      <c r="I38" s="283" t="str">
        <f t="shared" si="30"/>
        <v/>
      </c>
      <c r="J38" s="283" t="str">
        <f t="shared" si="30"/>
        <v/>
      </c>
      <c r="K38" s="284" t="str">
        <f t="shared" si="30"/>
        <v/>
      </c>
      <c r="L38" s="284" t="str">
        <f t="shared" si="30"/>
        <v/>
      </c>
      <c r="M38" s="284" t="str">
        <f t="shared" si="30"/>
        <v/>
      </c>
      <c r="N38" s="284" t="str">
        <f>IFERROR((N13-N6)/N15,"")</f>
        <v/>
      </c>
      <c r="O38" s="284" t="str">
        <f t="shared" si="30"/>
        <v/>
      </c>
      <c r="P38" s="284" t="str">
        <f t="shared" si="30"/>
        <v/>
      </c>
    </row>
    <row r="39" spans="3:30" x14ac:dyDescent="0.2">
      <c r="C39" s="129"/>
      <c r="D39" s="282"/>
      <c r="E39" s="283"/>
      <c r="F39" s="283"/>
      <c r="G39" s="283"/>
      <c r="H39" s="283"/>
      <c r="I39" s="283"/>
      <c r="J39" s="283"/>
      <c r="K39" s="284"/>
      <c r="L39" s="284"/>
      <c r="M39" s="284"/>
      <c r="N39" s="284"/>
      <c r="O39" s="284"/>
      <c r="P39" s="284"/>
    </row>
    <row r="40" spans="3:30" x14ac:dyDescent="0.2">
      <c r="C40" s="129" t="s">
        <v>136</v>
      </c>
      <c r="D40" s="282"/>
      <c r="E40" s="283" t="str">
        <f>IFERROR(('Income Statement_P&amp;L'!E7-'Income Statement_P&amp;L'!D7)/'Income Statement_P&amp;L'!D7,"")</f>
        <v/>
      </c>
      <c r="F40" s="283" t="str">
        <f>IFERROR(('Income Statement_P&amp;L'!F7-'Income Statement_P&amp;L'!E7)/'Income Statement_P&amp;L'!E7,"")</f>
        <v/>
      </c>
      <c r="G40" s="283" t="str">
        <f>IFERROR(('Income Statement_P&amp;L'!G7-'Income Statement_P&amp;L'!F7)/'Income Statement_P&amp;L'!F7,"")</f>
        <v/>
      </c>
      <c r="H40" s="283" t="str">
        <f>IFERROR(('Income Statement_P&amp;L'!H7-'Income Statement_P&amp;L'!G7)/'Income Statement_P&amp;L'!G7,"")</f>
        <v/>
      </c>
      <c r="I40" s="283" t="str">
        <f>IFERROR(('Income Statement_P&amp;L'!I7-'Income Statement_P&amp;L'!H7)/'Income Statement_P&amp;L'!H7,"")</f>
        <v/>
      </c>
      <c r="J40" s="283" t="str">
        <f>IFERROR(('Income Statement_P&amp;L'!J7-'Income Statement_P&amp;L'!I7)/'Income Statement_P&amp;L'!I7,"")</f>
        <v/>
      </c>
      <c r="K40" s="591" t="e">
        <f>(J13-J6)/' Cash Flow'!J11</f>
        <v>#DIV/0!</v>
      </c>
      <c r="L40" s="591" t="e">
        <f>(K13-K6)/' Cash Flow'!K11</f>
        <v>#DIV/0!</v>
      </c>
      <c r="M40" s="591" t="e">
        <f>(L13-L6)/' Cash Flow'!L11</f>
        <v>#DIV/0!</v>
      </c>
      <c r="N40" s="591">
        <f>(M13-M6)/' Cash Flow'!M11</f>
        <v>0</v>
      </c>
      <c r="O40" s="591">
        <f>(N13-N6)/' Cash Flow'!N11</f>
        <v>0</v>
      </c>
      <c r="P40" s="591">
        <f>(O13-O6)/' Cash Flow'!O11</f>
        <v>0</v>
      </c>
    </row>
    <row r="41" spans="3:30" x14ac:dyDescent="0.2">
      <c r="C41" s="129" t="s">
        <v>167</v>
      </c>
      <c r="D41" s="282"/>
      <c r="E41" s="283"/>
      <c r="F41" s="283"/>
      <c r="G41" s="283"/>
      <c r="H41" s="283"/>
      <c r="I41" s="283"/>
      <c r="J41" s="283"/>
      <c r="K41" s="591" t="e">
        <f>(J13-J6)/'Income Statement_P&amp;L'!K9</f>
        <v>#DIV/0!</v>
      </c>
      <c r="L41" s="591" t="e">
        <f>(K13-K6)/'Income Statement_P&amp;L'!L9</f>
        <v>#DIV/0!</v>
      </c>
      <c r="M41" s="591" t="e">
        <f>(L13-L6)/'Income Statement_P&amp;L'!M9</f>
        <v>#DIV/0!</v>
      </c>
      <c r="N41" s="591" t="e">
        <f>(M13-M6)/'Income Statement_P&amp;L'!N9</f>
        <v>#DIV/0!</v>
      </c>
      <c r="O41" s="591" t="e">
        <f>(N13-N6)/'Income Statement_P&amp;L'!O9</f>
        <v>#DIV/0!</v>
      </c>
      <c r="P41" s="591" t="e">
        <f>(O13-O6)/'Income Statement_P&amp;L'!P9</f>
        <v>#DIV/0!</v>
      </c>
    </row>
    <row r="56" spans="13:13" x14ac:dyDescent="0.2">
      <c r="M56" s="72"/>
    </row>
  </sheetData>
  <sheetProtection selectLockedCells="1"/>
  <mergeCells count="12">
    <mergeCell ref="D2:K2"/>
    <mergeCell ref="C25:P25"/>
    <mergeCell ref="R4:T4"/>
    <mergeCell ref="R5:T5"/>
    <mergeCell ref="C28:D28"/>
    <mergeCell ref="C27:D27"/>
    <mergeCell ref="C29:D29"/>
    <mergeCell ref="C31:D31"/>
    <mergeCell ref="C32:D32"/>
    <mergeCell ref="C34:D34"/>
    <mergeCell ref="C33:D33"/>
    <mergeCell ref="C30:D30"/>
  </mergeCells>
  <dataValidations count="2">
    <dataValidation type="decimal" allowBlank="1" showInputMessage="1" showErrorMessage="1" error="El valor debe ser numérico" sqref="D15:O15 D9:O9 D6:O6 D13:O13 K8:O8 K12:O12" xr:uid="{00000000-0002-0000-0100-000000000000}">
      <formula1>-100000</formula1>
      <formula2>10000000</formula2>
    </dataValidation>
    <dataValidation type="decimal" allowBlank="1" showInputMessage="1" showErrorMessage="1" error="El valor debe ser numérico" sqref="E30:P30 E27:P27 D7:J8 D12:J12 E33:P33" xr:uid="{00000000-0002-0000-0100-000001000000}">
      <formula1>-100000</formula1>
      <formula2>1000000</formula2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9"/>
  <sheetViews>
    <sheetView showGridLines="0" topLeftCell="A3" zoomScaleNormal="100" workbookViewId="0">
      <selection activeCell="D3" sqref="D3:K3"/>
    </sheetView>
  </sheetViews>
  <sheetFormatPr baseColWidth="10" defaultColWidth="9.1640625" defaultRowHeight="16" x14ac:dyDescent="0.2"/>
  <cols>
    <col min="1" max="1" width="3.5" style="48" customWidth="1"/>
    <col min="2" max="2" width="9.5" style="57" customWidth="1"/>
    <col min="3" max="3" width="39" style="48" customWidth="1"/>
    <col min="4" max="4" width="13.1640625" style="48" bestFit="1" customWidth="1"/>
    <col min="5" max="5" width="9.6640625" style="48" bestFit="1" customWidth="1"/>
    <col min="6" max="9" width="10.6640625" style="48" bestFit="1" customWidth="1"/>
    <col min="10" max="10" width="11.83203125" style="48" bestFit="1" customWidth="1"/>
    <col min="11" max="12" width="10.6640625" style="48" bestFit="1" customWidth="1"/>
    <col min="13" max="15" width="11.6640625" style="48" bestFit="1" customWidth="1"/>
    <col min="16" max="16" width="9.1640625" style="48"/>
    <col min="17" max="17" width="11.6640625" style="48" bestFit="1" customWidth="1"/>
    <col min="18" max="16384" width="9.1640625" style="48"/>
  </cols>
  <sheetData>
    <row r="1" spans="2:17" s="355" customFormat="1" ht="15" x14ac:dyDescent="0.2"/>
    <row r="2" spans="2:17" thickBot="1" x14ac:dyDescent="0.25">
      <c r="B2" s="48"/>
    </row>
    <row r="3" spans="2:17" ht="97" customHeight="1" thickBot="1" x14ac:dyDescent="0.25">
      <c r="B3" s="48"/>
      <c r="C3" s="356"/>
      <c r="D3" s="640" t="s">
        <v>185</v>
      </c>
      <c r="E3" s="641"/>
      <c r="F3" s="641"/>
      <c r="G3" s="641"/>
      <c r="H3" s="641"/>
      <c r="I3" s="641"/>
      <c r="J3" s="641"/>
      <c r="K3" s="642"/>
    </row>
    <row r="4" spans="2:17" ht="17" thickBot="1" x14ac:dyDescent="0.25">
      <c r="B4" s="68"/>
      <c r="C4" s="301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</row>
    <row r="5" spans="2:17" ht="15" customHeight="1" thickBot="1" x14ac:dyDescent="0.25">
      <c r="B5" s="66"/>
      <c r="C5" s="449" t="s">
        <v>168</v>
      </c>
      <c r="D5" s="477">
        <f>'Income Statement_P&amp;L'!E3</f>
        <v>2015</v>
      </c>
      <c r="E5" s="450">
        <f>'Income Statement_P&amp;L'!F3</f>
        <v>2016</v>
      </c>
      <c r="F5" s="450">
        <f>'Income Statement_P&amp;L'!G3</f>
        <v>2017</v>
      </c>
      <c r="G5" s="450">
        <f>'Income Statement_P&amp;L'!H3</f>
        <v>2018</v>
      </c>
      <c r="H5" s="450">
        <f>'Income Statement_P&amp;L'!I3</f>
        <v>2019</v>
      </c>
      <c r="I5" s="450">
        <f>'Income Statement_P&amp;L'!J3</f>
        <v>2020</v>
      </c>
      <c r="J5" s="624">
        <f>'Income Statement_P&amp;L'!K3</f>
        <v>2021</v>
      </c>
      <c r="K5" s="609">
        <f>'Income Statement_P&amp;L'!L3</f>
        <v>2022</v>
      </c>
      <c r="L5" s="609">
        <f>'Income Statement_P&amp;L'!M3</f>
        <v>2023</v>
      </c>
      <c r="M5" s="609">
        <f>'Income Statement_P&amp;L'!N3</f>
        <v>2024</v>
      </c>
      <c r="N5" s="609">
        <f>'Income Statement_P&amp;L'!O3</f>
        <v>2025</v>
      </c>
      <c r="O5" s="610">
        <f>'Income Statement_P&amp;L'!P3</f>
        <v>2026</v>
      </c>
    </row>
    <row r="6" spans="2:17" ht="15" customHeight="1" x14ac:dyDescent="0.2">
      <c r="B6" s="66"/>
      <c r="C6" s="250" t="s">
        <v>161</v>
      </c>
      <c r="D6" s="489"/>
      <c r="E6" s="490"/>
      <c r="F6" s="491"/>
      <c r="G6" s="491"/>
      <c r="H6" s="491"/>
      <c r="I6" s="492"/>
      <c r="J6" s="625"/>
      <c r="K6" s="596">
        <f>(J6*'Income Statement_P&amp;L'!$I$28)+' Cash Flow'!J6</f>
        <v>0</v>
      </c>
      <c r="L6" s="596">
        <f>(K6*'Income Statement_P&amp;L'!$I$28)+' Cash Flow'!K6</f>
        <v>0</v>
      </c>
      <c r="M6" s="596">
        <v>1.5</v>
      </c>
      <c r="N6" s="596">
        <v>2</v>
      </c>
      <c r="O6" s="611">
        <v>2.2999999999999998</v>
      </c>
      <c r="P6" s="493"/>
    </row>
    <row r="7" spans="2:17" ht="15.75" customHeight="1" x14ac:dyDescent="0.2">
      <c r="C7" s="251" t="s">
        <v>139</v>
      </c>
      <c r="D7" s="494"/>
      <c r="E7" s="495"/>
      <c r="F7" s="496"/>
      <c r="G7" s="496"/>
      <c r="H7" s="496"/>
      <c r="I7" s="497"/>
      <c r="J7" s="625"/>
      <c r="K7" s="596">
        <f>((J7*'Income Statement_P&amp;L'!I28)+J7)</f>
        <v>0</v>
      </c>
      <c r="L7" s="596">
        <f>((K7*'Income Statement_P&amp;L'!S6)+K7)</f>
        <v>0</v>
      </c>
      <c r="M7" s="596">
        <f>((L7*'Income Statement_P&amp;L'!T6)+L7)</f>
        <v>0</v>
      </c>
      <c r="N7" s="596">
        <f>((M7*'Income Statement_P&amp;L'!U6)+M7)</f>
        <v>0</v>
      </c>
      <c r="O7" s="611">
        <f>((N7*'Income Statement_P&amp;L'!V6)+N7)</f>
        <v>0</v>
      </c>
      <c r="P7" s="493"/>
    </row>
    <row r="8" spans="2:17" ht="15.75" customHeight="1" x14ac:dyDescent="0.2">
      <c r="C8" s="251" t="s">
        <v>164</v>
      </c>
      <c r="D8" s="612"/>
      <c r="E8" s="498"/>
      <c r="F8" s="499"/>
      <c r="G8" s="499"/>
      <c r="H8" s="499"/>
      <c r="I8" s="499"/>
      <c r="J8" s="625"/>
      <c r="K8" s="596">
        <f>J8+(J8*30%)</f>
        <v>0</v>
      </c>
      <c r="L8" s="596">
        <f>K8+(K8*25%)</f>
        <v>0</v>
      </c>
      <c r="M8" s="596">
        <f t="shared" ref="M8:O8" si="0">L8+(L8*25%)</f>
        <v>0</v>
      </c>
      <c r="N8" s="596">
        <f t="shared" si="0"/>
        <v>0</v>
      </c>
      <c r="O8" s="611">
        <f t="shared" si="0"/>
        <v>0</v>
      </c>
      <c r="P8" s="493"/>
    </row>
    <row r="9" spans="2:17" x14ac:dyDescent="0.2">
      <c r="C9" s="252" t="s">
        <v>154</v>
      </c>
      <c r="D9" s="501"/>
      <c r="E9" s="500"/>
      <c r="F9" s="500"/>
      <c r="G9" s="500"/>
      <c r="H9" s="500"/>
      <c r="I9" s="500"/>
      <c r="J9" s="626"/>
      <c r="K9" s="597"/>
      <c r="L9" s="597"/>
      <c r="M9" s="597"/>
      <c r="N9" s="597"/>
      <c r="O9" s="613"/>
      <c r="P9" s="493"/>
    </row>
    <row r="10" spans="2:17" ht="17" thickBot="1" x14ac:dyDescent="0.25">
      <c r="C10" s="252" t="s">
        <v>13</v>
      </c>
      <c r="D10" s="614"/>
      <c r="E10" s="502"/>
      <c r="F10" s="503"/>
      <c r="G10" s="503"/>
      <c r="H10" s="503"/>
      <c r="I10" s="503"/>
      <c r="J10" s="627"/>
      <c r="K10" s="596">
        <f>J10+(J10*5%)</f>
        <v>0</v>
      </c>
      <c r="L10" s="596">
        <f t="shared" ref="L10:O10" si="1">K10+(K10*5%)</f>
        <v>0</v>
      </c>
      <c r="M10" s="596">
        <f t="shared" si="1"/>
        <v>0</v>
      </c>
      <c r="N10" s="596">
        <f t="shared" si="1"/>
        <v>0</v>
      </c>
      <c r="O10" s="611">
        <f t="shared" si="1"/>
        <v>0</v>
      </c>
      <c r="P10" s="493"/>
      <c r="Q10" s="352"/>
    </row>
    <row r="11" spans="2:17" x14ac:dyDescent="0.2">
      <c r="C11" s="583" t="s">
        <v>155</v>
      </c>
      <c r="D11" s="50">
        <f>IFERROR((('Income Statement_P&amp;L'!E9-D6)-('Income Statement_P&amp;L'!E15)-('Income Statement_P&amp;L'!E18)-D9-D7-D10),)</f>
        <v>0</v>
      </c>
      <c r="E11" s="51">
        <f>IFERROR((('Income Statement_P&amp;L'!F9-E6)-('Income Statement_P&amp;L'!F15)-('Income Statement_P&amp;L'!F18)-E9-E7-E10),)</f>
        <v>0</v>
      </c>
      <c r="F11" s="51">
        <f>IFERROR((('Income Statement_P&amp;L'!G9-F6)-('Income Statement_P&amp;L'!G15)-('Income Statement_P&amp;L'!G18)-F9-F7-F10),)</f>
        <v>0</v>
      </c>
      <c r="G11" s="51">
        <f>IFERROR((('Income Statement_P&amp;L'!H9-G6)-('Income Statement_P&amp;L'!H15)-('Income Statement_P&amp;L'!H18)-G9-G7-G10),)</f>
        <v>0</v>
      </c>
      <c r="H11" s="51">
        <f>IFERROR((('Income Statement_P&amp;L'!I9-H6)-('Income Statement_P&amp;L'!I15)-('Income Statement_P&amp;L'!I18)-H9-H7-H10),)</f>
        <v>0</v>
      </c>
      <c r="I11" s="51">
        <f>IFERROR((('Income Statement_P&amp;L'!J9-I6)-('Income Statement_P&amp;L'!J15)-('Income Statement_P&amp;L'!J18)-I9-I7-I10),)</f>
        <v>0</v>
      </c>
      <c r="J11" s="628">
        <f>IFERROR((('Income Statement_P&amp;L'!K9-J6)-('Income Statement_P&amp;L'!K15)-('Income Statement_P&amp;L'!K18)-J9-J7-J10),)</f>
        <v>0</v>
      </c>
      <c r="K11" s="598">
        <f>IFERROR((('Income Statement_P&amp;L'!L9-K6)-('Income Statement_P&amp;L'!L15)-('Income Statement_P&amp;L'!L18)-K9-K7-K10),)</f>
        <v>0</v>
      </c>
      <c r="L11" s="598">
        <f>IFERROR((('Income Statement_P&amp;L'!M9-L6)-('Income Statement_P&amp;L'!M15)-('Income Statement_P&amp;L'!M18)-L9-L7-L10),)</f>
        <v>0</v>
      </c>
      <c r="M11" s="598">
        <f>IFERROR((('Income Statement_P&amp;L'!N9-M6)-('Income Statement_P&amp;L'!N15)-('Income Statement_P&amp;L'!N18)-M9-M7-M10),)</f>
        <v>-1.5</v>
      </c>
      <c r="N11" s="598">
        <f>IFERROR((('Income Statement_P&amp;L'!O9-N6)-('Income Statement_P&amp;L'!O15)-('Income Statement_P&amp;L'!O18)-N9-N7-N10),)</f>
        <v>-2</v>
      </c>
      <c r="O11" s="615">
        <f>IFERROR((('Income Statement_P&amp;L'!P9-O6)-('Income Statement_P&amp;L'!P15)-('Income Statement_P&amp;L'!P18)-O9-O7-O10),)</f>
        <v>-2.2999999999999998</v>
      </c>
    </row>
    <row r="12" spans="2:17" ht="17" thickBot="1" x14ac:dyDescent="0.25">
      <c r="C12" s="584" t="s">
        <v>80</v>
      </c>
      <c r="D12" s="616">
        <f>D11-Balance!E36</f>
        <v>0</v>
      </c>
      <c r="E12" s="582">
        <f>E11-Balance!F36</f>
        <v>0</v>
      </c>
      <c r="F12" s="582">
        <f>F11-Balance!G36</f>
        <v>0</v>
      </c>
      <c r="G12" s="582">
        <f>G11-Balance!H36</f>
        <v>0</v>
      </c>
      <c r="H12" s="582">
        <f>H11-Balance!I36</f>
        <v>0</v>
      </c>
      <c r="I12" s="582">
        <f>I11-Balance!J36</f>
        <v>0</v>
      </c>
      <c r="J12" s="628">
        <f>J11-Balance!K36</f>
        <v>0</v>
      </c>
      <c r="K12" s="598">
        <f>K11-Balance!L36</f>
        <v>0</v>
      </c>
      <c r="L12" s="598">
        <f>L11-Balance!M36</f>
        <v>0</v>
      </c>
      <c r="M12" s="598">
        <f>M11-Balance!N36</f>
        <v>-1.5</v>
      </c>
      <c r="N12" s="598">
        <f>N11-Balance!O36</f>
        <v>-2</v>
      </c>
      <c r="O12" s="615">
        <f>O11-Balance!P36</f>
        <v>-2.2999999999999998</v>
      </c>
      <c r="P12" s="493"/>
    </row>
    <row r="13" spans="2:17" x14ac:dyDescent="0.2">
      <c r="C13" s="579" t="s">
        <v>184</v>
      </c>
      <c r="D13" s="580"/>
      <c r="E13" s="581"/>
      <c r="F13" s="581"/>
      <c r="G13" s="581"/>
      <c r="H13" s="581"/>
      <c r="I13" s="581"/>
      <c r="J13" s="629"/>
      <c r="K13" s="599" t="e">
        <f t="shared" ref="K13:O13" si="2">(K11-J11)/J11</f>
        <v>#DIV/0!</v>
      </c>
      <c r="L13" s="599" t="e">
        <f t="shared" si="2"/>
        <v>#DIV/0!</v>
      </c>
      <c r="M13" s="599" t="e">
        <f t="shared" si="2"/>
        <v>#DIV/0!</v>
      </c>
      <c r="N13" s="599">
        <f t="shared" si="2"/>
        <v>0.33333333333333331</v>
      </c>
      <c r="O13" s="617">
        <f t="shared" si="2"/>
        <v>0.14999999999999991</v>
      </c>
    </row>
    <row r="14" spans="2:17" x14ac:dyDescent="0.2">
      <c r="C14" s="544" t="s">
        <v>182</v>
      </c>
      <c r="D14" s="343"/>
      <c r="E14" s="344"/>
      <c r="F14" s="344"/>
      <c r="G14" s="344"/>
      <c r="H14" s="344"/>
      <c r="I14" s="344"/>
      <c r="J14" s="629" t="e">
        <f>J11/'Income Statement_P&amp;L'!K5</f>
        <v>#DIV/0!</v>
      </c>
      <c r="K14" s="599" t="e">
        <f>K11/'Income Statement_P&amp;L'!L5</f>
        <v>#DIV/0!</v>
      </c>
      <c r="L14" s="599" t="e">
        <f>L11/'Income Statement_P&amp;L'!M5</f>
        <v>#DIV/0!</v>
      </c>
      <c r="M14" s="599" t="e">
        <f>M11/'Income Statement_P&amp;L'!N5</f>
        <v>#DIV/0!</v>
      </c>
      <c r="N14" s="599" t="e">
        <f>N11/'Income Statement_P&amp;L'!O5</f>
        <v>#DIV/0!</v>
      </c>
      <c r="O14" s="617" t="e">
        <f>O11/'Income Statement_P&amp;L'!P5</f>
        <v>#DIV/0!</v>
      </c>
    </row>
    <row r="15" spans="2:17" x14ac:dyDescent="0.2">
      <c r="C15" s="544" t="s">
        <v>178</v>
      </c>
      <c r="D15" s="580"/>
      <c r="E15" s="581"/>
      <c r="F15" s="581"/>
      <c r="G15" s="581"/>
      <c r="H15" s="581"/>
      <c r="I15" s="581"/>
      <c r="J15" s="629" t="e">
        <f>J11/'Income Statement_P&amp;L'!K9</f>
        <v>#DIV/0!</v>
      </c>
      <c r="K15" s="599" t="e">
        <f>K11/'Income Statement_P&amp;L'!L9</f>
        <v>#DIV/0!</v>
      </c>
      <c r="L15" s="599" t="e">
        <f>L11/'Income Statement_P&amp;L'!M9</f>
        <v>#DIV/0!</v>
      </c>
      <c r="M15" s="599" t="e">
        <f>M11/'Income Statement_P&amp;L'!N9</f>
        <v>#DIV/0!</v>
      </c>
      <c r="N15" s="599" t="e">
        <f>N11/'Income Statement_P&amp;L'!O9</f>
        <v>#DIV/0!</v>
      </c>
      <c r="O15" s="617" t="e">
        <f>O11/'Income Statement_P&amp;L'!P9</f>
        <v>#DIV/0!</v>
      </c>
    </row>
    <row r="16" spans="2:17" x14ac:dyDescent="0.2">
      <c r="C16" s="544" t="s">
        <v>183</v>
      </c>
      <c r="D16" s="580"/>
      <c r="E16" s="581"/>
      <c r="F16" s="581"/>
      <c r="G16" s="581"/>
      <c r="H16" s="581"/>
      <c r="I16" s="581"/>
      <c r="J16" s="629" t="e">
        <f>(J11/'Income Statement_P&amp;L'!K25)/Valuation!$H$7</f>
        <v>#DIV/0!</v>
      </c>
      <c r="K16" s="599" t="e">
        <f>(K11/'Income Statement_P&amp;L'!L25)/Valuation!$H$7</f>
        <v>#DIV/0!</v>
      </c>
      <c r="L16" s="599" t="e">
        <f>(L11/'Income Statement_P&amp;L'!M25)/Valuation!$H$7</f>
        <v>#DIV/0!</v>
      </c>
      <c r="M16" s="599" t="e">
        <f>(M11/'Income Statement_P&amp;L'!N25)/Valuation!$H$7</f>
        <v>#DIV/0!</v>
      </c>
      <c r="N16" s="599" t="e">
        <f>(N11/'Income Statement_P&amp;L'!O25)/Valuation!$H$7</f>
        <v>#DIV/0!</v>
      </c>
      <c r="O16" s="617" t="e">
        <f>(O11/'Income Statement_P&amp;L'!P25)/Valuation!$H$7</f>
        <v>#DIV/0!</v>
      </c>
    </row>
    <row r="17" spans="2:16" ht="18" thickBot="1" x14ac:dyDescent="0.25">
      <c r="C17" s="546" t="s">
        <v>156</v>
      </c>
      <c r="D17" s="253" t="str">
        <f>IFERROR(D11/'Income Statement_P&amp;L'!E25,"")</f>
        <v/>
      </c>
      <c r="E17" s="74" t="str">
        <f>IFERROR(E11/'Income Statement_P&amp;L'!F25,"")</f>
        <v/>
      </c>
      <c r="F17" s="74" t="str">
        <f>IFERROR(F11/'Income Statement_P&amp;L'!G25,"")</f>
        <v/>
      </c>
      <c r="G17" s="74" t="str">
        <f>IFERROR(G11/'Income Statement_P&amp;L'!H25,"")</f>
        <v/>
      </c>
      <c r="H17" s="74" t="str">
        <f>IFERROR(H11/'Income Statement_P&amp;L'!I25,"")</f>
        <v/>
      </c>
      <c r="I17" s="74" t="str">
        <f>IFERROR(I11/'Income Statement_P&amp;L'!J25,"")</f>
        <v/>
      </c>
      <c r="J17" s="630" t="str">
        <f>IFERROR(J11/'Income Statement_P&amp;L'!K25,"")</f>
        <v/>
      </c>
      <c r="K17" s="600" t="str">
        <f>IFERROR(K11/'Income Statement_P&amp;L'!L25,"")</f>
        <v/>
      </c>
      <c r="L17" s="600" t="str">
        <f>IFERROR(L11/'Income Statement_P&amp;L'!M25,"")</f>
        <v/>
      </c>
      <c r="M17" s="600" t="str">
        <f>IFERROR(M11/'Income Statement_P&amp;L'!N25,"")</f>
        <v/>
      </c>
      <c r="N17" s="600" t="str">
        <f>IFERROR(N11/'Income Statement_P&amp;L'!O25,"")</f>
        <v/>
      </c>
      <c r="O17" s="618" t="str">
        <f>IFERROR(O11/'Income Statement_P&amp;L'!P25,"")</f>
        <v/>
      </c>
    </row>
    <row r="18" spans="2:16" ht="17" thickBot="1" x14ac:dyDescent="0.25">
      <c r="B18" s="65"/>
      <c r="C18" s="299"/>
      <c r="D18" s="543"/>
      <c r="E18" s="300"/>
      <c r="F18" s="300"/>
      <c r="G18" s="300"/>
      <c r="H18" s="300"/>
      <c r="I18" s="508"/>
      <c r="J18" s="631"/>
      <c r="K18" s="601"/>
      <c r="L18" s="601"/>
      <c r="M18" s="601"/>
      <c r="N18" s="601"/>
      <c r="O18" s="619"/>
      <c r="P18" s="493"/>
    </row>
    <row r="19" spans="2:16" x14ac:dyDescent="0.2">
      <c r="C19" s="49" t="s">
        <v>179</v>
      </c>
      <c r="D19" s="50"/>
      <c r="E19" s="51"/>
      <c r="F19" s="51"/>
      <c r="G19" s="51"/>
      <c r="H19" s="51"/>
      <c r="I19" s="51">
        <f>IFERROR((('Income Statement_P&amp;L'!J9-I6)-('Income Statement_P&amp;L'!J15)-('Income Statement_P&amp;L'!J18)-I9-#REF!-I10-I7-I8),)</f>
        <v>0</v>
      </c>
      <c r="J19" s="632">
        <f>IFERROR((('Income Statement_P&amp;L'!K9-J6-J8)-('Income Statement_P&amp;L'!K15)-('Income Statement_P&amp;L'!K18)-J9-J7-J10),)</f>
        <v>0</v>
      </c>
      <c r="K19" s="602">
        <f>IFERROR((('Income Statement_P&amp;L'!L9-K6-K8)-('Income Statement_P&amp;L'!L15)-('Income Statement_P&amp;L'!L18)-K9-K7-K10),)</f>
        <v>0</v>
      </c>
      <c r="L19" s="602">
        <f>IFERROR((('Income Statement_P&amp;L'!M9-L6-L8)-('Income Statement_P&amp;L'!M15)-('Income Statement_P&amp;L'!M18)-L9-L7-L10),)</f>
        <v>0</v>
      </c>
      <c r="M19" s="602">
        <f>IFERROR((('Income Statement_P&amp;L'!N9-M6-M8)-('Income Statement_P&amp;L'!N15)-('Income Statement_P&amp;L'!N18)-M9-M7-M10),)</f>
        <v>-1.5</v>
      </c>
      <c r="N19" s="602">
        <f>IFERROR((('Income Statement_P&amp;L'!O9-N6-N8)-('Income Statement_P&amp;L'!O15)-('Income Statement_P&amp;L'!O18)-N9-N7-N10),)</f>
        <v>-2</v>
      </c>
      <c r="O19" s="620">
        <f>IFERROR((('Income Statement_P&amp;L'!P9-O6-O8)-('Income Statement_P&amp;L'!P15)-('Income Statement_P&amp;L'!P18)-O9-O7-O10),)</f>
        <v>-2.2999999999999998</v>
      </c>
    </row>
    <row r="20" spans="2:16" ht="18" thickBot="1" x14ac:dyDescent="0.25">
      <c r="C20" s="546" t="s">
        <v>180</v>
      </c>
      <c r="D20" s="253" t="str">
        <f>IFERROR(D19/'Income Statement_P&amp;L'!E25,"")</f>
        <v/>
      </c>
      <c r="E20" s="74" t="str">
        <f>IFERROR(E19/'Income Statement_P&amp;L'!F25,"")</f>
        <v/>
      </c>
      <c r="F20" s="74" t="str">
        <f>IFERROR(F19/'Income Statement_P&amp;L'!G25,"")</f>
        <v/>
      </c>
      <c r="G20" s="74" t="str">
        <f>IFERROR(G19/'Income Statement_P&amp;L'!H25,"")</f>
        <v/>
      </c>
      <c r="H20" s="74" t="str">
        <f>IFERROR(H19/'Income Statement_P&amp;L'!I25,"")</f>
        <v/>
      </c>
      <c r="I20" s="74" t="str">
        <f>IFERROR(I19/'Income Statement_P&amp;L'!J25,"")</f>
        <v/>
      </c>
      <c r="J20" s="633" t="str">
        <f>IFERROR(J19/'Income Statement_P&amp;L'!K25,"")</f>
        <v/>
      </c>
      <c r="K20" s="603" t="str">
        <f>IFERROR(K19/'Income Statement_P&amp;L'!L25,"")</f>
        <v/>
      </c>
      <c r="L20" s="603" t="str">
        <f>IFERROR(L19/'Income Statement_P&amp;L'!M25,"")</f>
        <v/>
      </c>
      <c r="M20" s="603" t="str">
        <f>IFERROR(M19/'Income Statement_P&amp;L'!N25,"")</f>
        <v/>
      </c>
      <c r="N20" s="603" t="str">
        <f>IFERROR(N19/'Income Statement_P&amp;L'!O25,"")</f>
        <v/>
      </c>
      <c r="O20" s="621" t="str">
        <f>IFERROR(O19/'Income Statement_P&amp;L'!P25,"")</f>
        <v/>
      </c>
      <c r="P20" s="493"/>
    </row>
    <row r="21" spans="2:16" ht="17" thickBot="1" x14ac:dyDescent="0.25">
      <c r="B21" s="65"/>
      <c r="C21" s="299"/>
      <c r="D21" s="543"/>
      <c r="E21" s="300"/>
      <c r="F21" s="300"/>
      <c r="G21" s="300"/>
      <c r="H21" s="300"/>
      <c r="I21" s="508"/>
      <c r="J21" s="631"/>
      <c r="K21" s="601"/>
      <c r="L21" s="601"/>
      <c r="M21" s="601"/>
      <c r="N21" s="601"/>
      <c r="O21" s="619"/>
      <c r="P21" s="493"/>
    </row>
    <row r="22" spans="2:16" ht="17" thickBot="1" x14ac:dyDescent="0.25">
      <c r="C22" s="49" t="s">
        <v>165</v>
      </c>
      <c r="D22" s="303"/>
      <c r="E22" s="304"/>
      <c r="F22" s="304"/>
      <c r="G22" s="304"/>
      <c r="H22" s="304"/>
      <c r="I22" s="592"/>
      <c r="J22" s="634" t="e">
        <f t="shared" ref="J22:O22" si="3">J6/J11</f>
        <v>#DIV/0!</v>
      </c>
      <c r="K22" s="504" t="e">
        <f t="shared" si="3"/>
        <v>#DIV/0!</v>
      </c>
      <c r="L22" s="504" t="e">
        <f t="shared" si="3"/>
        <v>#DIV/0!</v>
      </c>
      <c r="M22" s="504">
        <f t="shared" si="3"/>
        <v>-1</v>
      </c>
      <c r="N22" s="504">
        <f t="shared" si="3"/>
        <v>-1</v>
      </c>
      <c r="O22" s="505">
        <f t="shared" si="3"/>
        <v>-1</v>
      </c>
      <c r="P22" s="493"/>
    </row>
    <row r="23" spans="2:16" ht="17" thickBot="1" x14ac:dyDescent="0.25">
      <c r="C23" s="342" t="s">
        <v>166</v>
      </c>
      <c r="D23" s="305"/>
      <c r="E23" s="306"/>
      <c r="F23" s="306"/>
      <c r="G23" s="306"/>
      <c r="H23" s="306"/>
      <c r="I23" s="593"/>
      <c r="J23" s="635" t="e">
        <f t="shared" ref="J23:O23" si="4">(J6+J8+J7+J9+J10)/J11</f>
        <v>#DIV/0!</v>
      </c>
      <c r="K23" s="506" t="e">
        <f t="shared" si="4"/>
        <v>#DIV/0!</v>
      </c>
      <c r="L23" s="506" t="e">
        <f t="shared" si="4"/>
        <v>#DIV/0!</v>
      </c>
      <c r="M23" s="506">
        <f t="shared" si="4"/>
        <v>-1</v>
      </c>
      <c r="N23" s="506">
        <f t="shared" si="4"/>
        <v>-1</v>
      </c>
      <c r="O23" s="507">
        <f t="shared" si="4"/>
        <v>-1</v>
      </c>
      <c r="P23" s="493"/>
    </row>
    <row r="24" spans="2:16" ht="17" thickBot="1" x14ac:dyDescent="0.25">
      <c r="B24" s="65"/>
      <c r="C24" s="545"/>
      <c r="D24" s="543"/>
      <c r="E24" s="300"/>
      <c r="F24" s="300"/>
      <c r="G24" s="300"/>
      <c r="H24" s="300"/>
      <c r="I24" s="508"/>
      <c r="J24" s="631"/>
      <c r="K24" s="601"/>
      <c r="L24" s="601"/>
      <c r="M24" s="601"/>
      <c r="N24" s="601"/>
      <c r="O24" s="619"/>
      <c r="P24" s="493"/>
    </row>
    <row r="25" spans="2:16" ht="17" thickBot="1" x14ac:dyDescent="0.25">
      <c r="B25" s="68"/>
      <c r="C25" s="342" t="s">
        <v>162</v>
      </c>
      <c r="D25" s="307"/>
      <c r="E25" s="308"/>
      <c r="F25" s="308"/>
      <c r="G25" s="308"/>
      <c r="H25" s="308"/>
      <c r="I25" s="594"/>
      <c r="J25" s="634" t="e">
        <f>(J6+J7)/'Income Statement_P&amp;L'!K5</f>
        <v>#DIV/0!</v>
      </c>
      <c r="K25" s="504" t="e">
        <f>(K6+K7)/'Income Statement_P&amp;L'!L5</f>
        <v>#DIV/0!</v>
      </c>
      <c r="L25" s="504" t="e">
        <f>(L6+L7)/'Income Statement_P&amp;L'!M5</f>
        <v>#DIV/0!</v>
      </c>
      <c r="M25" s="504" t="e">
        <f>(M6+M7)/'Income Statement_P&amp;L'!N5</f>
        <v>#DIV/0!</v>
      </c>
      <c r="N25" s="504" t="e">
        <f>(N6+N7)/'Income Statement_P&amp;L'!O5</f>
        <v>#DIV/0!</v>
      </c>
      <c r="O25" s="505" t="e">
        <f>(O6+O7)/'Income Statement_P&amp;L'!P5</f>
        <v>#DIV/0!</v>
      </c>
      <c r="P25" s="493"/>
    </row>
    <row r="26" spans="2:16" ht="17" thickBot="1" x14ac:dyDescent="0.25">
      <c r="B26" s="68"/>
      <c r="C26" s="342" t="s">
        <v>163</v>
      </c>
      <c r="D26" s="309"/>
      <c r="E26" s="310"/>
      <c r="F26" s="310"/>
      <c r="G26" s="310"/>
      <c r="H26" s="310"/>
      <c r="I26" s="595"/>
      <c r="J26" s="636" t="e">
        <f>(J6+J7+J8+J9+J10)/'Income Statement_P&amp;L'!K5</f>
        <v>#DIV/0!</v>
      </c>
      <c r="K26" s="637" t="e">
        <f>(K6+K7+K8+K9+K10)/'Income Statement_P&amp;L'!L5</f>
        <v>#DIV/0!</v>
      </c>
      <c r="L26" s="637" t="e">
        <f>(L6+L7+L8+L9+L10)/'Income Statement_P&amp;L'!M5</f>
        <v>#DIV/0!</v>
      </c>
      <c r="M26" s="637" t="e">
        <f>(M6+M7+M8+M9+M10)/'Income Statement_P&amp;L'!N5</f>
        <v>#DIV/0!</v>
      </c>
      <c r="N26" s="637" t="e">
        <f>(N6+N7+N8+N9+N10)/'Income Statement_P&amp;L'!O5</f>
        <v>#DIV/0!</v>
      </c>
      <c r="O26" s="638" t="e">
        <f>(O6+O7+O8+O9+O10)/'Income Statement_P&amp;L'!P5</f>
        <v>#DIV/0!</v>
      </c>
      <c r="P26" s="493"/>
    </row>
    <row r="27" spans="2:16" x14ac:dyDescent="0.2">
      <c r="B27" s="68"/>
      <c r="C27" s="301"/>
      <c r="D27" s="302"/>
      <c r="E27" s="302"/>
      <c r="F27" s="302"/>
      <c r="G27" s="302"/>
      <c r="H27" s="302"/>
      <c r="I27" s="509"/>
      <c r="J27" s="509"/>
      <c r="K27" s="509"/>
      <c r="L27" s="509"/>
      <c r="M27" s="509"/>
      <c r="N27" s="509"/>
      <c r="O27" s="509"/>
      <c r="P27" s="493"/>
    </row>
    <row r="28" spans="2:16" x14ac:dyDescent="0.2">
      <c r="B28" s="65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2:16" x14ac:dyDescent="0.2">
      <c r="B29" s="6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2:16" x14ac:dyDescent="0.2">
      <c r="B30" s="65"/>
      <c r="C30" s="67"/>
      <c r="D30" s="67"/>
      <c r="E30" s="67"/>
      <c r="F30" s="67"/>
      <c r="G30" s="67"/>
      <c r="H30" s="67"/>
      <c r="I30" s="67"/>
      <c r="J30" s="354"/>
      <c r="K30" s="354"/>
      <c r="L30" s="354"/>
      <c r="M30" s="354"/>
      <c r="N30" s="354"/>
      <c r="O30" s="354"/>
    </row>
    <row r="31" spans="2:16" x14ac:dyDescent="0.2">
      <c r="B31" s="65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2:16" x14ac:dyDescent="0.2">
      <c r="B32" s="65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</row>
    <row r="33" spans="2:14" x14ac:dyDescent="0.2">
      <c r="B33" s="65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2:14" x14ac:dyDescent="0.2">
      <c r="B34" s="6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</row>
    <row r="35" spans="2:14" x14ac:dyDescent="0.2">
      <c r="B35" s="6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</row>
    <row r="36" spans="2:14" x14ac:dyDescent="0.2">
      <c r="B36" s="6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</row>
    <row r="37" spans="2:14" x14ac:dyDescent="0.2">
      <c r="B37" s="6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</row>
    <row r="38" spans="2:14" x14ac:dyDescent="0.2">
      <c r="B38" s="6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</row>
    <row r="39" spans="2:14" x14ac:dyDescent="0.2">
      <c r="B39" s="6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</row>
  </sheetData>
  <sheetProtection selectLockedCells="1"/>
  <mergeCells count="1">
    <mergeCell ref="D3:K3"/>
  </mergeCells>
  <dataValidations count="2">
    <dataValidation type="decimal" allowBlank="1" showInputMessage="1" showErrorMessage="1" error="El valor de la celda debe ser numérico" sqref="D6:O6" xr:uid="{00000000-0002-0000-0200-000001000000}">
      <formula1>0</formula1>
      <formula2>100000</formula2>
    </dataValidation>
    <dataValidation type="decimal" allowBlank="1" showInputMessage="1" showErrorMessage="1" error="El valor de la celda debe ser numérico" sqref="D9:O10" xr:uid="{00000000-0002-0000-0200-000000000000}">
      <formula1>-10000</formula1>
      <formula2>100000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86"/>
  <sheetViews>
    <sheetView showGridLines="0" zoomScaleNormal="100" workbookViewId="0">
      <selection activeCell="D3" sqref="D3:K3"/>
    </sheetView>
  </sheetViews>
  <sheetFormatPr baseColWidth="10" defaultColWidth="9.1640625" defaultRowHeight="15" outlineLevelRow="1" x14ac:dyDescent="0.2"/>
  <cols>
    <col min="1" max="1" width="4" customWidth="1"/>
    <col min="2" max="2" width="12.33203125" customWidth="1"/>
    <col min="3" max="3" width="34" customWidth="1"/>
    <col min="4" max="4" width="9.5" customWidth="1"/>
    <col min="5" max="5" width="16.5" customWidth="1"/>
    <col min="8" max="8" width="13.1640625" customWidth="1"/>
    <col min="9" max="9" width="11.6640625" bestFit="1" customWidth="1"/>
    <col min="10" max="10" width="10.6640625" customWidth="1"/>
    <col min="11" max="11" width="14.5" customWidth="1"/>
    <col min="12" max="12" width="10.83203125" customWidth="1"/>
    <col min="13" max="13" width="13.83203125" customWidth="1"/>
    <col min="14" max="14" width="11.6640625" bestFit="1" customWidth="1"/>
    <col min="15" max="15" width="11" customWidth="1"/>
    <col min="16" max="16" width="13.6640625" customWidth="1"/>
  </cols>
  <sheetData>
    <row r="1" spans="1:22" s="355" customFormat="1" x14ac:dyDescent="0.2"/>
    <row r="2" spans="1:22" s="48" customFormat="1" ht="16" thickBot="1" x14ac:dyDescent="0.25"/>
    <row r="3" spans="1:22" s="48" customFormat="1" ht="97" customHeight="1" thickBot="1" x14ac:dyDescent="0.25">
      <c r="C3" s="356"/>
      <c r="D3" s="640" t="s">
        <v>185</v>
      </c>
      <c r="E3" s="641"/>
      <c r="F3" s="641"/>
      <c r="G3" s="641"/>
      <c r="H3" s="641"/>
      <c r="I3" s="641"/>
      <c r="J3" s="641"/>
      <c r="K3" s="642"/>
    </row>
    <row r="4" spans="1:22" s="355" customFormat="1" ht="16" customHeight="1" x14ac:dyDescent="0.2">
      <c r="A4" s="1"/>
    </row>
    <row r="5" spans="1:22" s="355" customFormat="1" ht="21" x14ac:dyDescent="0.25">
      <c r="B5" s="683" t="s">
        <v>174</v>
      </c>
      <c r="C5" s="683"/>
      <c r="D5" s="683"/>
      <c r="E5" s="683"/>
      <c r="F5" s="683"/>
      <c r="G5" s="683"/>
      <c r="H5" s="683"/>
      <c r="I5" s="683"/>
      <c r="J5" s="683"/>
      <c r="K5" s="683"/>
      <c r="L5" s="683"/>
      <c r="M5" s="683"/>
      <c r="N5" s="683"/>
      <c r="O5" s="683"/>
      <c r="P5" s="683"/>
    </row>
    <row r="6" spans="1:22" ht="16" thickBot="1" x14ac:dyDescent="0.25">
      <c r="A6" s="1"/>
    </row>
    <row r="7" spans="1:22" ht="28.5" customHeight="1" thickBot="1" x14ac:dyDescent="0.25">
      <c r="A7" s="1"/>
      <c r="B7" s="6"/>
      <c r="C7" s="40"/>
      <c r="D7" s="40"/>
      <c r="E7" s="692" t="s">
        <v>175</v>
      </c>
      <c r="F7" s="693"/>
      <c r="G7" s="694"/>
      <c r="H7" s="623"/>
      <c r="I7" s="40"/>
      <c r="J7" s="40"/>
      <c r="K7" s="40"/>
      <c r="L7" s="40"/>
      <c r="M7" s="40"/>
      <c r="N7" s="40"/>
      <c r="O7" s="2"/>
      <c r="P7" s="2"/>
      <c r="Q7" s="1"/>
      <c r="R7" s="1"/>
      <c r="S7" s="1"/>
      <c r="T7" s="1"/>
      <c r="U7" s="1"/>
      <c r="V7" s="1"/>
    </row>
    <row r="8" spans="1:22" ht="15" customHeight="1" thickBot="1" x14ac:dyDescent="0.25">
      <c r="A8" s="1"/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  <c r="P8" s="1"/>
      <c r="Q8" s="1"/>
      <c r="R8" s="1"/>
      <c r="S8" s="1"/>
      <c r="T8" s="1"/>
      <c r="U8" s="1"/>
      <c r="V8" s="1"/>
    </row>
    <row r="9" spans="1:22" ht="15" customHeight="1" thickBot="1" x14ac:dyDescent="0.25">
      <c r="A9" s="1"/>
      <c r="B9" s="6"/>
      <c r="C9" s="104" t="s">
        <v>59</v>
      </c>
      <c r="D9" s="477">
        <f>'Income Statement_P&amp;L'!E3</f>
        <v>2015</v>
      </c>
      <c r="E9" s="450">
        <f>'Income Statement_P&amp;L'!F3</f>
        <v>2016</v>
      </c>
      <c r="F9" s="450">
        <f>'Income Statement_P&amp;L'!G3</f>
        <v>2017</v>
      </c>
      <c r="G9" s="450">
        <f>'Income Statement_P&amp;L'!H3</f>
        <v>2018</v>
      </c>
      <c r="H9" s="450">
        <f>'Income Statement_P&amp;L'!I3</f>
        <v>2019</v>
      </c>
      <c r="I9" s="450">
        <f>'Income Statement_P&amp;L'!J3</f>
        <v>2020</v>
      </c>
      <c r="J9" s="451">
        <f>'Income Statement_P&amp;L'!K3</f>
        <v>2021</v>
      </c>
      <c r="K9" s="418">
        <v>2022</v>
      </c>
      <c r="L9" s="416">
        <v>2023</v>
      </c>
      <c r="M9" s="416">
        <v>2024</v>
      </c>
      <c r="N9" s="416">
        <v>2025</v>
      </c>
      <c r="O9" s="419">
        <v>2026</v>
      </c>
      <c r="P9" s="1"/>
      <c r="Q9" s="1"/>
      <c r="R9" s="1"/>
      <c r="S9" s="1"/>
      <c r="T9" s="1"/>
      <c r="U9" s="1"/>
      <c r="V9" s="1"/>
    </row>
    <row r="10" spans="1:22" ht="16" x14ac:dyDescent="0.2">
      <c r="A10" s="1"/>
      <c r="C10" s="464" t="s">
        <v>136</v>
      </c>
      <c r="D10" s="465" t="str">
        <f>IFERROR((Balance!D13-Balance!D6)/' Cash Flow'!D11,"")</f>
        <v/>
      </c>
      <c r="E10" s="140" t="str">
        <f>IFERROR((Balance!E13-Balance!E6)/' Cash Flow'!E11,"")</f>
        <v/>
      </c>
      <c r="F10" s="140" t="str">
        <f>IFERROR((Balance!F13-Balance!F6)/' Cash Flow'!F11,"")</f>
        <v/>
      </c>
      <c r="G10" s="140" t="str">
        <f>IFERROR((Balance!G13-Balance!G6)/' Cash Flow'!G11,"")</f>
        <v/>
      </c>
      <c r="H10" s="140" t="str">
        <f>IFERROR((Balance!H13-Balance!H6)/' Cash Flow'!H11,"")</f>
        <v/>
      </c>
      <c r="I10" s="140" t="str">
        <f>IFERROR((Balance!I13-Balance!I6)/' Cash Flow'!I11,"")</f>
        <v/>
      </c>
      <c r="J10" s="140" t="str">
        <f>IFERROR((Balance!J13-Balance!J6)/' Cash Flow'!J11,"")</f>
        <v/>
      </c>
      <c r="K10" s="141" t="str">
        <f>IFERROR((Balance!K13-Balance!K6)/' Cash Flow'!K11,"")</f>
        <v/>
      </c>
      <c r="L10" s="295" t="str">
        <f>IFERROR((Balance!L13-Balance!L6)/' Cash Flow'!L11,"")</f>
        <v/>
      </c>
      <c r="M10" s="295">
        <f>IFERROR((Balance!M13-Balance!M6)/' Cash Flow'!M11,"")</f>
        <v>0</v>
      </c>
      <c r="N10" s="295">
        <f>IFERROR((Balance!N13-Balance!N6)/' Cash Flow'!N11,"")</f>
        <v>0</v>
      </c>
      <c r="O10" s="295">
        <f>IFERROR((Balance!O13-Balance!O6)/' Cash Flow'!O11,"")</f>
        <v>0</v>
      </c>
      <c r="P10" s="39"/>
      <c r="Q10" s="39"/>
      <c r="R10" s="5"/>
      <c r="S10" s="1"/>
      <c r="T10" s="1"/>
      <c r="U10" s="1"/>
      <c r="V10" s="1"/>
    </row>
    <row r="11" spans="1:22" s="298" customFormat="1" ht="17" thickBot="1" x14ac:dyDescent="0.25">
      <c r="A11" s="1"/>
      <c r="C11" s="464" t="s">
        <v>167</v>
      </c>
      <c r="D11" s="466"/>
      <c r="E11" s="467"/>
      <c r="F11" s="467"/>
      <c r="G11" s="467"/>
      <c r="H11" s="467"/>
      <c r="I11" s="467" t="str">
        <f>IFERROR((Balance!I13-Balance!I6)/'Income Statement_P&amp;L'!J9,"")</f>
        <v/>
      </c>
      <c r="J11" s="467" t="str">
        <f>IFERROR((Balance!J13-Balance!J6)/'Income Statement_P&amp;L'!K9,"")</f>
        <v/>
      </c>
      <c r="K11" s="622" t="str">
        <f>IFERROR((Balance!K13-Balance!K6)/'Income Statement_P&amp;L'!L9,"")</f>
        <v/>
      </c>
      <c r="L11" s="468" t="str">
        <f>IFERROR((Balance!L13-Balance!L6)/'Income Statement_P&amp;L'!M9,"")</f>
        <v/>
      </c>
      <c r="M11" s="468" t="str">
        <f>IFERROR((Balance!M13-Balance!M6)/'Income Statement_P&amp;L'!N9,"")</f>
        <v/>
      </c>
      <c r="N11" s="468" t="str">
        <f>IFERROR((Balance!N13-Balance!N6)/'Income Statement_P&amp;L'!O9,"")</f>
        <v/>
      </c>
      <c r="O11" s="468" t="str">
        <f>IFERROR((Balance!O13-Balance!O6)/'Income Statement_P&amp;L'!P9,"")</f>
        <v/>
      </c>
      <c r="P11" s="39"/>
      <c r="Q11" s="39"/>
      <c r="R11" s="5"/>
      <c r="S11" s="1"/>
      <c r="T11" s="1"/>
      <c r="U11" s="1"/>
      <c r="V11" s="1"/>
    </row>
    <row r="12" spans="1:22" ht="18" thickBot="1" x14ac:dyDescent="0.25">
      <c r="A12" s="1"/>
      <c r="C12" s="237"/>
      <c r="D12" s="510" t="s">
        <v>14</v>
      </c>
      <c r="E12" s="511" t="s">
        <v>15</v>
      </c>
      <c r="F12" s="59"/>
      <c r="G12" s="59"/>
      <c r="H12" s="59"/>
      <c r="I12" s="59"/>
      <c r="J12" s="59"/>
      <c r="K12" s="285"/>
      <c r="L12" s="59"/>
      <c r="M12" s="59"/>
      <c r="N12" s="59"/>
      <c r="O12" s="286"/>
      <c r="P12" s="681" t="s">
        <v>17</v>
      </c>
      <c r="Q12" s="682"/>
      <c r="R12" s="527"/>
      <c r="S12" s="1"/>
      <c r="T12" s="1"/>
      <c r="U12" s="1"/>
      <c r="V12" s="1"/>
    </row>
    <row r="13" spans="1:22" ht="17" thickBot="1" x14ac:dyDescent="0.25">
      <c r="A13" s="1"/>
      <c r="C13" s="238" t="s">
        <v>7</v>
      </c>
      <c r="D13" s="512" t="str">
        <f>IFERROR((M13/$H$7)^(1/3)-1,"")</f>
        <v/>
      </c>
      <c r="E13" s="513" t="str">
        <f>IFERROR((O13/$H$7)^(1/5)-1,"")</f>
        <v/>
      </c>
      <c r="F13" s="59"/>
      <c r="G13" s="106" t="s">
        <v>3</v>
      </c>
      <c r="H13" s="106"/>
      <c r="I13" s="106"/>
      <c r="J13" s="345" t="str">
        <f>IFERROR(IF(--(Balance!J13-Balance!J6)&lt;0,('Income Statement_P&amp;L'!K22*$R$12-(Balance!J13-Balance!J6)),IF(--(Balance!J13-Balance!J6)&gt;0,'Income Statement_P&amp;L'!K22*$R$12))/'Income Statement_P&amp;L'!K25,"")</f>
        <v/>
      </c>
      <c r="K13" s="346" t="str">
        <f>IFERROR(IF(--(Balance!K13-Balance!K6)&lt;0,('Income Statement_P&amp;L'!L22*$R$12-(Balance!K13-Balance!K6)),IF(--(Balance!K13-Balance!K6)&gt;0,'Income Statement_P&amp;L'!L22*$R$12))/'Income Statement_P&amp;L'!L25,"")</f>
        <v/>
      </c>
      <c r="L13" s="345" t="str">
        <f>IFERROR(IF(--(Balance!L13-Balance!L6)&lt;0,('Income Statement_P&amp;L'!M22*$R$12-(Balance!L13-Balance!L6)),IF(--(Balance!L13-Balance!L6)&gt;0,'Income Statement_P&amp;L'!M22*$R$12))/'Income Statement_P&amp;L'!M25,"")</f>
        <v/>
      </c>
      <c r="M13" s="345" t="str">
        <f>IFERROR(IF(--(Balance!M13-Balance!M6)&lt;0,('Income Statement_P&amp;L'!N22*$R$12-(Balance!M13-Balance!M6)),IF(--(Balance!M13-Balance!M6)&gt;0,'Income Statement_P&amp;L'!N22*$R$12))/'Income Statement_P&amp;L'!N25,"")</f>
        <v/>
      </c>
      <c r="N13" s="345" t="str">
        <f>IFERROR(IF(--(Balance!N13-Balance!N6)&lt;0,('Income Statement_P&amp;L'!O22*$R$12-(Balance!N13-Balance!N6)),IF(--(Balance!N13-Balance!N6)&gt;0,'Income Statement_P&amp;L'!O22*$R$12))/'Income Statement_P&amp;L'!O25,"")</f>
        <v/>
      </c>
      <c r="O13" s="347" t="str">
        <f>IFERROR(IF(--(Balance!O13-Balance!O6)&lt;0,('Income Statement_P&amp;L'!P22*$R$12-(Balance!O13-Balance!O6)),IF(--(Balance!O13-Balance!O6)&gt;0,'Income Statement_P&amp;L'!P22*$R$12))/'Income Statement_P&amp;L'!P25,"")</f>
        <v/>
      </c>
      <c r="P13" s="681" t="s">
        <v>158</v>
      </c>
      <c r="Q13" s="682"/>
      <c r="R13" s="527"/>
      <c r="S13" s="1"/>
      <c r="T13" s="1"/>
      <c r="U13" s="1"/>
      <c r="V13" s="1"/>
    </row>
    <row r="14" spans="1:22" ht="17" thickBot="1" x14ac:dyDescent="0.25">
      <c r="A14" s="1"/>
      <c r="C14" s="238" t="s">
        <v>8</v>
      </c>
      <c r="D14" s="512" t="str">
        <f>IFERROR((M14/$H$7)^(1/3)-1,"")</f>
        <v/>
      </c>
      <c r="E14" s="513" t="str">
        <f>IFERROR((O14/$H$7)^(1/5)-1,"")</f>
        <v/>
      </c>
      <c r="F14" s="59"/>
      <c r="G14" s="107" t="s">
        <v>4</v>
      </c>
      <c r="H14" s="59"/>
      <c r="I14" s="59"/>
      <c r="J14" s="345" t="str">
        <f>IFERROR(IF(--(Balance!J13-Balance!J6)&lt;0,(' Cash Flow'!J12*$R$13-(Balance!J13-Balance!J6)),IF(--(Balance!J13-Balance!J6)&gt;0,' Cash Flow'!J12*$R$13))/'Income Statement_P&amp;L'!K25,"")</f>
        <v/>
      </c>
      <c r="K14" s="346" t="str">
        <f>IFERROR(IF(--(Balance!K13-Balance!K6)&lt;0,(' Cash Flow'!K12*$R$13-(Balance!K13-Balance!K6)),IF(--(Balance!K13-Balance!K6)&gt;0,' Cash Flow'!K12*$R$13))/'Income Statement_P&amp;L'!L25,"")</f>
        <v/>
      </c>
      <c r="L14" s="345" t="str">
        <f>IFERROR(IF(--(Balance!L13-Balance!L6)&lt;0,(' Cash Flow'!L12*$R$13-(Balance!L13-Balance!L6)),IF(--(Balance!L13-Balance!L6)&gt;0,' Cash Flow'!L12*$R$13))/'Income Statement_P&amp;L'!M25,"")</f>
        <v/>
      </c>
      <c r="M14" s="345" t="str">
        <f>IFERROR(IF(--(Balance!M13-Balance!M6)&lt;0,(' Cash Flow'!M12*$R$13-(Balance!M13-Balance!M6)),IF(--(Balance!M13-Balance!M6)&gt;0,' Cash Flow'!M12*$R$13))/'Income Statement_P&amp;L'!N25,"")</f>
        <v/>
      </c>
      <c r="N14" s="345" t="str">
        <f>IFERROR(IF(--(Balance!N13-Balance!N6)&lt;0,(' Cash Flow'!N12*$R$13-(Balance!N13-Balance!N6)),IF(--(Balance!N13-Balance!N6)&gt;0,' Cash Flow'!N12*$R$13))/'Income Statement_P&amp;L'!O25,"")</f>
        <v/>
      </c>
      <c r="O14" s="347" t="str">
        <f>IFERROR(IF(--(Balance!O13-Balance!O6)&lt;0,(' Cash Flow'!O12*$R$13-(Balance!O13-Balance!O6)),IF(--(Balance!O13-Balance!O6)&gt;0,' Cash Flow'!O12*$R$13))/'Income Statement_P&amp;L'!P25,"")</f>
        <v/>
      </c>
      <c r="P14" s="681" t="s">
        <v>159</v>
      </c>
      <c r="Q14" s="682"/>
      <c r="R14" s="527"/>
      <c r="S14" s="1"/>
      <c r="T14" s="1"/>
      <c r="U14" s="1"/>
      <c r="V14" s="1"/>
    </row>
    <row r="15" spans="1:22" ht="17" thickBot="1" x14ac:dyDescent="0.25">
      <c r="A15" s="1"/>
      <c r="C15" s="238" t="s">
        <v>9</v>
      </c>
      <c r="D15" s="512" t="str">
        <f>IFERROR((M15/$H$7)^(1/3)-1,"")</f>
        <v/>
      </c>
      <c r="E15" s="513" t="str">
        <f>IFERROR((O15/$H$7)^(1/5)-1,"")</f>
        <v/>
      </c>
      <c r="F15" s="59"/>
      <c r="G15" s="107" t="s">
        <v>5</v>
      </c>
      <c r="H15" s="59"/>
      <c r="I15" s="59"/>
      <c r="J15" s="345" t="str">
        <f>IFERROR((('Income Statement_P&amp;L'!K9*$R$14)-(Balance!J13-Balance!J6))/'Income Statement_P&amp;L'!K25,"")</f>
        <v/>
      </c>
      <c r="K15" s="346" t="str">
        <f>IFERROR((('Income Statement_P&amp;L'!L9*$R$14)-(Balance!K13-Balance!K6))/'Income Statement_P&amp;L'!L25,"")</f>
        <v/>
      </c>
      <c r="L15" s="345" t="str">
        <f>IFERROR((('Income Statement_P&amp;L'!M9*$R$14)-(Balance!L13-Balance!L6))/'Income Statement_P&amp;L'!M25,"")</f>
        <v/>
      </c>
      <c r="M15" s="345" t="str">
        <f>IFERROR((('Income Statement_P&amp;L'!N9*$R$14)-(Balance!M13-Balance!M6))/'Income Statement_P&amp;L'!N25,"")</f>
        <v/>
      </c>
      <c r="N15" s="345" t="str">
        <f>IFERROR((('Income Statement_P&amp;L'!O9*$R$14)-(Balance!N13-Balance!N6))/'Income Statement_P&amp;L'!O25,"")</f>
        <v/>
      </c>
      <c r="O15" s="347" t="str">
        <f>IFERROR((('Income Statement_P&amp;L'!P9*$R$14)-(Balance!O13-Balance!O6))/'Income Statement_P&amp;L'!P25,"")</f>
        <v/>
      </c>
      <c r="P15" s="681" t="s">
        <v>160</v>
      </c>
      <c r="Q15" s="682"/>
      <c r="R15" s="527"/>
      <c r="S15" s="1"/>
      <c r="T15" s="1"/>
      <c r="U15" s="1"/>
      <c r="V15" s="1"/>
    </row>
    <row r="16" spans="1:22" ht="17" thickBot="1" x14ac:dyDescent="0.25">
      <c r="A16" s="1"/>
      <c r="C16" s="239" t="s">
        <v>10</v>
      </c>
      <c r="D16" s="514" t="str">
        <f>IFERROR((M16/$H$7)^(1/3)-1,"")</f>
        <v/>
      </c>
      <c r="E16" s="515" t="str">
        <f>IFERROR((O16/$H$7)^(1/5)-1,"")</f>
        <v/>
      </c>
      <c r="F16" s="108"/>
      <c r="G16" s="109" t="s">
        <v>6</v>
      </c>
      <c r="H16" s="108"/>
      <c r="I16" s="108"/>
      <c r="J16" s="348" t="str">
        <f>IFERROR((('Income Statement_P&amp;L'!K12*$R$15)-(Balance!J13-Balance!J6))/'Income Statement_P&amp;L'!K25,"")</f>
        <v/>
      </c>
      <c r="K16" s="349" t="str">
        <f>IFERROR((('Income Statement_P&amp;L'!L12*$R$15)-(Balance!K13-Balance!K6))/'Income Statement_P&amp;L'!L25,"")</f>
        <v/>
      </c>
      <c r="L16" s="348" t="str">
        <f>IFERROR((('Income Statement_P&amp;L'!M12*$R$15)-(Balance!L13-Balance!L6))/'Income Statement_P&amp;L'!M25,"")</f>
        <v/>
      </c>
      <c r="M16" s="348" t="str">
        <f>IFERROR((('Income Statement_P&amp;L'!N12*$R$15)-(Balance!M13-Balance!M6))/'Income Statement_P&amp;L'!N25,"")</f>
        <v/>
      </c>
      <c r="N16" s="348" t="str">
        <f>IFERROR((('Income Statement_P&amp;L'!O12*$R$15)-(Balance!N13-Balance!N6))/'Income Statement_P&amp;L'!O25,"")</f>
        <v/>
      </c>
      <c r="O16" s="350" t="str">
        <f>IFERROR((('Income Statement_P&amp;L'!P12*$R$15)-(Balance!O13-Balance!O6))/'Income Statement_P&amp;L'!P25,"")</f>
        <v/>
      </c>
      <c r="S16" s="1"/>
      <c r="T16" s="1"/>
      <c r="U16" s="1"/>
      <c r="V16" s="1"/>
    </row>
    <row r="17" spans="1:22" ht="17" thickBot="1" x14ac:dyDescent="0.25">
      <c r="A17" s="1"/>
      <c r="L17" s="105"/>
      <c r="M17" s="105"/>
      <c r="N17" s="105"/>
      <c r="O17" s="105"/>
      <c r="P17" s="685" t="s">
        <v>75</v>
      </c>
      <c r="Q17" s="686"/>
      <c r="R17" s="62">
        <v>3</v>
      </c>
      <c r="S17" s="1"/>
      <c r="T17" s="1"/>
      <c r="U17" s="1"/>
      <c r="V17" s="1"/>
    </row>
    <row r="18" spans="1:22" ht="17" thickBot="1" x14ac:dyDescent="0.25">
      <c r="A18" s="1"/>
      <c r="E18" s="101" t="s">
        <v>77</v>
      </c>
      <c r="F18" s="112" t="str">
        <f>IFERROR(#REF!/'Income Statement_P&amp;L'!K5,"")</f>
        <v/>
      </c>
      <c r="G18" s="101" t="s">
        <v>76</v>
      </c>
      <c r="H18" s="102"/>
      <c r="I18" s="102"/>
      <c r="J18" s="103"/>
      <c r="K18" s="111" t="str">
        <f>IFERROR('Income Statement_P&amp;L'!K5*$R$17/'Income Statement_P&amp;L'!K25,"")</f>
        <v/>
      </c>
      <c r="L18" s="48"/>
      <c r="M18" s="72" t="s">
        <v>66</v>
      </c>
      <c r="N18" s="48"/>
      <c r="O18" s="48"/>
      <c r="S18" s="1"/>
      <c r="T18" s="1"/>
      <c r="U18" s="1"/>
      <c r="V18" s="1"/>
    </row>
    <row r="19" spans="1:22" ht="16" x14ac:dyDescent="0.2">
      <c r="A19" s="1"/>
      <c r="I19" s="48"/>
      <c r="J19" s="48"/>
      <c r="K19" s="48"/>
      <c r="L19" s="48"/>
      <c r="M19" s="72" t="s">
        <v>74</v>
      </c>
      <c r="N19" s="48"/>
      <c r="O19" s="48"/>
      <c r="P19" s="48"/>
      <c r="R19" s="1"/>
      <c r="S19" s="1"/>
      <c r="T19" s="1"/>
      <c r="U19" s="1"/>
      <c r="V19" s="1"/>
    </row>
    <row r="20" spans="1:22" ht="16" x14ac:dyDescent="0.2">
      <c r="A20" s="1"/>
      <c r="B20" s="4"/>
      <c r="C20" s="3"/>
      <c r="D20" s="3"/>
      <c r="E20" s="3"/>
      <c r="F20" s="3"/>
      <c r="G20" s="3"/>
      <c r="H20" s="43"/>
      <c r="I20" s="58"/>
      <c r="J20" s="58"/>
      <c r="K20" s="58"/>
      <c r="L20" s="58"/>
      <c r="M20" s="61" t="b">
        <v>1</v>
      </c>
      <c r="N20" s="58"/>
      <c r="O20" s="60"/>
      <c r="P20" s="60"/>
      <c r="Q20" s="1"/>
      <c r="R20" s="1"/>
      <c r="S20" s="1"/>
      <c r="T20" s="1"/>
      <c r="U20" s="1"/>
      <c r="V20" s="1"/>
    </row>
    <row r="21" spans="1:22" ht="17" thickBot="1" x14ac:dyDescent="0.25">
      <c r="A21" s="1"/>
      <c r="B21" s="2"/>
      <c r="C21" s="3"/>
      <c r="D21" s="3"/>
      <c r="E21" s="3"/>
      <c r="F21" s="3"/>
      <c r="G21" s="3"/>
      <c r="H21" s="43"/>
      <c r="I21" s="58"/>
      <c r="J21" s="58"/>
      <c r="K21" s="58"/>
      <c r="L21" s="58"/>
      <c r="M21" s="58"/>
      <c r="N21" s="58"/>
      <c r="O21" s="60"/>
      <c r="P21" s="60"/>
      <c r="Q21" s="1"/>
      <c r="R21" s="1"/>
      <c r="S21" s="1"/>
      <c r="T21" s="1"/>
      <c r="U21" s="1"/>
      <c r="V21" s="1"/>
    </row>
    <row r="22" spans="1:22" ht="17" thickBot="1" x14ac:dyDescent="0.25">
      <c r="A22" s="1"/>
      <c r="B22" s="2"/>
      <c r="C22" s="2"/>
      <c r="D22" s="2"/>
      <c r="E22" s="2"/>
      <c r="F22" s="2"/>
      <c r="G22" s="2"/>
      <c r="H22" s="8"/>
      <c r="I22" s="518"/>
      <c r="J22" s="519">
        <f>J9</f>
        <v>2021</v>
      </c>
      <c r="K22" s="604">
        <f>K9</f>
        <v>2022</v>
      </c>
      <c r="L22" s="520">
        <f t="shared" ref="L22:O22" si="0">L9</f>
        <v>2023</v>
      </c>
      <c r="M22" s="520">
        <f t="shared" si="0"/>
        <v>2024</v>
      </c>
      <c r="N22" s="520">
        <f t="shared" si="0"/>
        <v>2025</v>
      </c>
      <c r="O22" s="521">
        <f t="shared" si="0"/>
        <v>2026</v>
      </c>
      <c r="P22" s="7"/>
      <c r="Q22" s="110" t="b">
        <v>0</v>
      </c>
      <c r="R22" s="1"/>
      <c r="S22" s="1"/>
      <c r="T22" s="1"/>
      <c r="U22" s="1"/>
      <c r="V22" s="1"/>
    </row>
    <row r="23" spans="1:22" ht="16" x14ac:dyDescent="0.2">
      <c r="A23" s="1"/>
      <c r="B23" s="2"/>
      <c r="C23" s="2"/>
      <c r="D23" s="2"/>
      <c r="E23" s="2"/>
      <c r="F23" s="2"/>
      <c r="G23" s="2"/>
      <c r="H23" s="8"/>
      <c r="I23" s="522" t="s">
        <v>17</v>
      </c>
      <c r="J23" s="516" t="str">
        <f>IFERROR(IF((Balance!J13-Balance!J6)&gt;0,($H$7*'Income Statement_P&amp;L'!K25)/'Income Statement_P&amp;L'!K22,(($H$7*'Income Statement_P&amp;L'!K25)+(Balance!J13-Balance!J6))/'Income Statement_P&amp;L'!K22),"")</f>
        <v/>
      </c>
      <c r="K23" s="287" t="str">
        <f>IFERROR(IF((Balance!K13-Balance!K6)&gt;0,($H$7*'Income Statement_P&amp;L'!L25)/'Income Statement_P&amp;L'!L22,(($H$7*'Income Statement_P&amp;L'!L25)+(Balance!K13-Balance!K6))/'Income Statement_P&amp;L'!L22),"")</f>
        <v/>
      </c>
      <c r="L23" s="288" t="str">
        <f>IFERROR(IF((Balance!L13-Balance!L6)&gt;0,($H$7*'Income Statement_P&amp;L'!M25)/'Income Statement_P&amp;L'!M22,(($H$7*'Income Statement_P&amp;L'!M25)+(Balance!L13-Balance!L6))/'Income Statement_P&amp;L'!M22),"")</f>
        <v/>
      </c>
      <c r="M23" s="288" t="str">
        <f>IFERROR(IF((Balance!M13-Balance!M6)&gt;0,($H$7*'Income Statement_P&amp;L'!N25)/'Income Statement_P&amp;L'!N22,(($H$7*'Income Statement_P&amp;L'!N25)+(Balance!M13-Balance!M6))/'Income Statement_P&amp;L'!N22),"")</f>
        <v/>
      </c>
      <c r="N23" s="288" t="str">
        <f>IFERROR(IF((Balance!N13-Balance!N6)&gt;0,($H$7*'Income Statement_P&amp;L'!O25)/'Income Statement_P&amp;L'!O22,(($H$7*'Income Statement_P&amp;L'!O25)+(Balance!N13-Balance!N6))/'Income Statement_P&amp;L'!O22),"")</f>
        <v/>
      </c>
      <c r="O23" s="289" t="str">
        <f>IFERROR(IF((Balance!O13-Balance!O6)&gt;0,($H$7*'Income Statement_P&amp;L'!P25)/'Income Statement_P&amp;L'!P22,(($H$7*'Income Statement_P&amp;L'!P25)+(Balance!O13-Balance!O6))/'Income Statement_P&amp;L'!P22),"")</f>
        <v/>
      </c>
      <c r="P23" s="7"/>
      <c r="Q23" s="1"/>
      <c r="R23" s="1"/>
      <c r="S23" s="1"/>
      <c r="T23" s="1"/>
      <c r="U23" s="1"/>
      <c r="V23" s="1"/>
    </row>
    <row r="24" spans="1:22" ht="16" x14ac:dyDescent="0.2">
      <c r="A24" s="1"/>
      <c r="B24" s="1"/>
      <c r="C24" s="1"/>
      <c r="D24" s="1"/>
      <c r="E24" s="1"/>
      <c r="F24" s="1"/>
      <c r="G24" s="1"/>
      <c r="H24" s="7"/>
      <c r="I24" s="523" t="s">
        <v>20</v>
      </c>
      <c r="J24" s="517" t="str">
        <f>IFERROR(IF((Balance!J13-Balance!J6)&gt;0,($H$7*'Income Statement_P&amp;L'!K25)/' Cash Flow'!J11,(($H$7*'Income Statement_P&amp;L'!K25)+(Balance!J13-Balance!J6))/' Cash Flow'!J11),"")</f>
        <v/>
      </c>
      <c r="K24" s="290" t="str">
        <f>IFERROR(IF((Balance!K13-Balance!K6)&gt;0,($H$7*'Income Statement_P&amp;L'!L25)/' Cash Flow'!K11,(($H$7*'Income Statement_P&amp;L'!L25)+(Balance!K13-Balance!K6))/' Cash Flow'!K11),"")</f>
        <v/>
      </c>
      <c r="L24" s="44" t="str">
        <f>IFERROR(IF((Balance!L13-Balance!L6)&gt;0,($H$7*'Income Statement_P&amp;L'!M25)/' Cash Flow'!L11,(($H$7*'Income Statement_P&amp;L'!M25)+(Balance!L13-Balance!L6))/' Cash Flow'!L11),"")</f>
        <v/>
      </c>
      <c r="M24" s="44">
        <f>IFERROR(IF((Balance!M13-Balance!M6)&gt;0,($H$7*'Income Statement_P&amp;L'!N25)/' Cash Flow'!M11,(($H$7*'Income Statement_P&amp;L'!N25)+(Balance!M13-Balance!M6))/' Cash Flow'!M11),"")</f>
        <v>0</v>
      </c>
      <c r="N24" s="44">
        <f>IFERROR(IF((Balance!N13-Balance!N6)&gt;0,($H$7*'Income Statement_P&amp;L'!O25)/' Cash Flow'!N11,(($H$7*'Income Statement_P&amp;L'!O25)+(Balance!N13-Balance!N6))/' Cash Flow'!N11),"")</f>
        <v>0</v>
      </c>
      <c r="O24" s="291">
        <f>IFERROR(IF((Balance!O13-Balance!O6)&gt;0,($H$7*'Income Statement_P&amp;L'!P25)/' Cash Flow'!O11,(($H$7*'Income Statement_P&amp;L'!P25)+(Balance!O13-Balance!O6))/' Cash Flow'!O11),"")</f>
        <v>0</v>
      </c>
      <c r="P24" s="7"/>
      <c r="Q24" s="1"/>
      <c r="R24" s="1"/>
      <c r="S24" s="1"/>
      <c r="T24" s="1"/>
      <c r="U24" s="1"/>
      <c r="V24" s="1"/>
    </row>
    <row r="25" spans="1:22" ht="16" x14ac:dyDescent="0.2">
      <c r="A25" s="1"/>
      <c r="B25" s="1"/>
      <c r="C25" s="1"/>
      <c r="D25" s="1"/>
      <c r="E25" s="1"/>
      <c r="F25" s="1"/>
      <c r="G25" s="1"/>
      <c r="H25" s="7"/>
      <c r="I25" s="523" t="s">
        <v>19</v>
      </c>
      <c r="J25" s="517" t="str">
        <f>IFERROR(($H$7*'Income Statement_P&amp;L'!K25+(Balance!J13-Balance!J6))/'Income Statement_P&amp;L'!K12,"")</f>
        <v/>
      </c>
      <c r="K25" s="290" t="str">
        <f>IFERROR(($H$7*'Income Statement_P&amp;L'!L25+(Balance!K13-Balance!K6))/'Income Statement_P&amp;L'!L12,"")</f>
        <v/>
      </c>
      <c r="L25" s="44" t="str">
        <f>IFERROR(($H$7*'Income Statement_P&amp;L'!M25+(Balance!L13-Balance!L6))/'Income Statement_P&amp;L'!M12,"")</f>
        <v/>
      </c>
      <c r="M25" s="44" t="str">
        <f>IFERROR(($H$7*'Income Statement_P&amp;L'!N25+(Balance!M13-Balance!M6))/'Income Statement_P&amp;L'!N12,"")</f>
        <v/>
      </c>
      <c r="N25" s="44" t="str">
        <f>IFERROR(($H$7*'Income Statement_P&amp;L'!O25+(Balance!N13-Balance!N6))/'Income Statement_P&amp;L'!O12,"")</f>
        <v/>
      </c>
      <c r="O25" s="291" t="str">
        <f>IFERROR(($H$7*'Income Statement_P&amp;L'!P25+(Balance!O13-Balance!O6))/'Income Statement_P&amp;L'!P12,"")</f>
        <v/>
      </c>
      <c r="P25" s="7"/>
      <c r="Q25" s="1"/>
      <c r="R25" s="1"/>
      <c r="S25" s="1"/>
      <c r="T25" s="1"/>
      <c r="U25" s="1"/>
      <c r="V25" s="1"/>
    </row>
    <row r="26" spans="1:22" ht="16" x14ac:dyDescent="0.2">
      <c r="A26" s="1"/>
      <c r="B26" s="1"/>
      <c r="C26" s="1"/>
      <c r="D26" s="1"/>
      <c r="E26" s="1"/>
      <c r="F26" s="1"/>
      <c r="G26" s="1"/>
      <c r="H26" s="7"/>
      <c r="I26" s="523" t="s">
        <v>18</v>
      </c>
      <c r="J26" s="517" t="str">
        <f>IFERROR(($H$7*'Income Statement_P&amp;L'!K25+(Balance!J13-Balance!J6))/'Income Statement_P&amp;L'!K9,"")</f>
        <v/>
      </c>
      <c r="K26" s="290" t="str">
        <f>IFERROR(($H$7*'Income Statement_P&amp;L'!L25+(Balance!K13-Balance!K6))/'Income Statement_P&amp;L'!L9,"")</f>
        <v/>
      </c>
      <c r="L26" s="44" t="str">
        <f>IFERROR(($H$7*'Income Statement_P&amp;L'!M25+(Balance!L13-Balance!L6))/'Income Statement_P&amp;L'!M9,"")</f>
        <v/>
      </c>
      <c r="M26" s="44" t="str">
        <f>IFERROR(($H$7*'Income Statement_P&amp;L'!N25+(Balance!M13-Balance!M6))/'Income Statement_P&amp;L'!N9,"")</f>
        <v/>
      </c>
      <c r="N26" s="44" t="str">
        <f>IFERROR(($H$7*'Income Statement_P&amp;L'!O25+(Balance!N13-Balance!N6))/'Income Statement_P&amp;L'!O9,"")</f>
        <v/>
      </c>
      <c r="O26" s="291" t="str">
        <f>IFERROR(($H$7*'Income Statement_P&amp;L'!P25+(Balance!O13-Balance!O6))/'Income Statement_P&amp;L'!P9,"")</f>
        <v/>
      </c>
      <c r="P26" s="7"/>
      <c r="Q26" s="1"/>
      <c r="R26" s="1"/>
      <c r="S26" s="1"/>
      <c r="T26" s="1"/>
      <c r="U26" s="1"/>
      <c r="V26" s="1"/>
    </row>
    <row r="27" spans="1:22" ht="17" thickBot="1" x14ac:dyDescent="0.25">
      <c r="A27" s="1"/>
      <c r="B27" s="1"/>
      <c r="C27" s="1"/>
      <c r="D27" s="1"/>
      <c r="E27" s="1"/>
      <c r="F27" s="1"/>
      <c r="G27" s="1"/>
      <c r="H27" s="7"/>
      <c r="I27" s="524" t="s">
        <v>140</v>
      </c>
      <c r="J27" s="525" t="str">
        <f>IFERROR(' Cash Flow'!J11/($H$7*'Income Statement_P&amp;L'!K25),"")</f>
        <v/>
      </c>
      <c r="K27" s="292" t="str">
        <f>IFERROR(' Cash Flow'!K11/($H$7*'Income Statement_P&amp;L'!L25),"")</f>
        <v/>
      </c>
      <c r="L27" s="293" t="str">
        <f>IFERROR(' Cash Flow'!L11/($H$7*'Income Statement_P&amp;L'!M25),"")</f>
        <v/>
      </c>
      <c r="M27" s="293" t="str">
        <f>IFERROR(' Cash Flow'!M11/($H$7*'Income Statement_P&amp;L'!N25),"")</f>
        <v/>
      </c>
      <c r="N27" s="293" t="str">
        <f>IFERROR(' Cash Flow'!N11/($H$7*'Income Statement_P&amp;L'!O25),"")</f>
        <v/>
      </c>
      <c r="O27" s="294" t="str">
        <f>IFERROR(' Cash Flow'!O11/($H$7*'Income Statement_P&amp;L'!P25),"")</f>
        <v/>
      </c>
      <c r="P27" s="7"/>
      <c r="Q27" s="1"/>
      <c r="R27" s="1"/>
      <c r="S27" s="1"/>
      <c r="T27" s="1"/>
      <c r="U27" s="1"/>
      <c r="V27" s="1"/>
    </row>
    <row r="28" spans="1:22" ht="16" x14ac:dyDescent="0.2">
      <c r="A28" s="1"/>
      <c r="B28" s="1"/>
      <c r="C28" s="1"/>
      <c r="D28" s="1"/>
      <c r="E28" s="1"/>
      <c r="F28" s="1"/>
      <c r="G28" s="1"/>
      <c r="H28" s="9"/>
      <c r="I28" s="9"/>
      <c r="J28" s="9"/>
      <c r="K28" s="9"/>
      <c r="L28" s="9"/>
      <c r="M28" s="9"/>
      <c r="N28" s="9"/>
      <c r="O28" s="9"/>
      <c r="P28" s="9"/>
      <c r="Q28" s="1"/>
      <c r="R28" s="1"/>
      <c r="S28" s="1"/>
      <c r="T28" s="1"/>
      <c r="U28" s="1"/>
      <c r="V28" s="1"/>
    </row>
    <row r="29" spans="1:22" ht="16" thickBot="1" x14ac:dyDescent="0.25">
      <c r="A29" s="1"/>
      <c r="F29" s="1"/>
      <c r="G29" s="1"/>
      <c r="I29" s="684"/>
      <c r="J29" s="684"/>
      <c r="K29" s="684"/>
      <c r="L29" s="684"/>
      <c r="M29" s="684"/>
      <c r="N29" s="684"/>
      <c r="O29" s="684"/>
      <c r="Q29" s="1"/>
      <c r="R29" s="1"/>
      <c r="S29" s="1"/>
      <c r="T29" s="1"/>
      <c r="U29" s="1"/>
      <c r="V29" s="1"/>
    </row>
    <row r="30" spans="1:22" ht="16" thickBot="1" x14ac:dyDescent="0.25">
      <c r="A30" s="1"/>
      <c r="F30" s="1"/>
      <c r="G30" s="1"/>
      <c r="K30" s="689" t="s">
        <v>181</v>
      </c>
      <c r="L30" s="690"/>
      <c r="M30" s="691"/>
      <c r="R30" s="1"/>
      <c r="S30" s="1"/>
      <c r="T30" s="1"/>
      <c r="U30" s="1"/>
      <c r="V30" s="1"/>
    </row>
    <row r="31" spans="1:22" ht="16" thickBot="1" x14ac:dyDescent="0.25">
      <c r="A31" s="1"/>
      <c r="F31" s="1"/>
      <c r="G31" s="1"/>
      <c r="K31" s="526"/>
      <c r="L31" s="29"/>
      <c r="M31" s="215"/>
      <c r="Q31" s="1"/>
      <c r="R31" s="1"/>
      <c r="S31" s="1"/>
      <c r="T31" s="1"/>
      <c r="U31" s="1"/>
      <c r="V31" s="1"/>
    </row>
    <row r="32" spans="1:22" ht="16" thickBot="1" x14ac:dyDescent="0.25">
      <c r="A32" s="1"/>
      <c r="F32" s="1"/>
      <c r="G32" s="1"/>
      <c r="K32" s="676" t="s">
        <v>120</v>
      </c>
      <c r="L32" s="677"/>
      <c r="M32" s="295">
        <f>IFERROR(M33+(Balance!J13-Balance!J6),"")</f>
        <v>0</v>
      </c>
      <c r="Q32" s="1"/>
      <c r="R32" s="1"/>
      <c r="S32" s="1"/>
      <c r="T32" s="1"/>
      <c r="U32" s="1"/>
      <c r="V32" s="1"/>
    </row>
    <row r="33" spans="1:22" ht="16" thickBot="1" x14ac:dyDescent="0.25">
      <c r="A33" s="1"/>
      <c r="F33" s="1"/>
      <c r="G33" s="1"/>
      <c r="K33" s="676" t="s">
        <v>11</v>
      </c>
      <c r="L33" s="677"/>
      <c r="M33" s="103">
        <f>IFERROR($H$7*'Income Statement_P&amp;L'!K25,"")</f>
        <v>0</v>
      </c>
      <c r="Q33" s="1"/>
      <c r="R33" s="1"/>
      <c r="S33" s="1"/>
      <c r="T33" s="1"/>
      <c r="U33" s="1"/>
      <c r="V33" s="1"/>
    </row>
    <row r="34" spans="1:22" ht="16" thickBot="1" x14ac:dyDescent="0.25">
      <c r="A34" s="1"/>
      <c r="F34" s="1"/>
      <c r="G34" s="1"/>
      <c r="K34" s="676" t="s">
        <v>157</v>
      </c>
      <c r="L34" s="677"/>
      <c r="M34" s="235" t="str">
        <f>IFERROR((Balance!J13-Balance!J6)/'Income Statement_P&amp;L'!K9,"")</f>
        <v/>
      </c>
      <c r="Q34" s="1"/>
      <c r="R34" s="1"/>
      <c r="S34" s="1"/>
      <c r="T34" s="1"/>
      <c r="U34" s="1"/>
      <c r="V34" s="1"/>
    </row>
    <row r="35" spans="1:22" ht="17" thickBot="1" x14ac:dyDescent="0.25">
      <c r="A35" s="1"/>
      <c r="F35" s="1"/>
      <c r="G35" s="1"/>
      <c r="K35" s="687" t="s">
        <v>134</v>
      </c>
      <c r="L35" s="688"/>
      <c r="M35" s="235" t="str">
        <f>IFERROR(($H$7*'Income Statement_P&amp;L'!K25)/Balance!J18,"")</f>
        <v/>
      </c>
      <c r="Q35" s="1"/>
      <c r="R35" s="1"/>
      <c r="S35" s="1"/>
      <c r="T35" s="1"/>
      <c r="U35" s="1"/>
      <c r="V35" s="1"/>
    </row>
    <row r="36" spans="1:22" ht="17" thickBot="1" x14ac:dyDescent="0.25">
      <c r="A36" s="1"/>
      <c r="F36" s="1"/>
      <c r="G36" s="1"/>
      <c r="K36" s="687" t="s">
        <v>135</v>
      </c>
      <c r="L36" s="688"/>
      <c r="M36" s="236" t="str">
        <f>IFERROR(Balance!J20,"")</f>
        <v/>
      </c>
      <c r="Q36" s="10"/>
      <c r="R36" s="1"/>
      <c r="S36" s="1"/>
      <c r="T36" s="1"/>
      <c r="U36" s="1"/>
      <c r="V36" s="1"/>
    </row>
    <row r="37" spans="1:22" ht="17" thickBot="1" x14ac:dyDescent="0.25">
      <c r="A37" s="1"/>
      <c r="F37" s="1"/>
      <c r="G37" s="1"/>
      <c r="K37" s="687" t="s">
        <v>143</v>
      </c>
      <c r="L37" s="688"/>
      <c r="M37" s="236" t="str">
        <f>IFERROR(M36/M35,"")</f>
        <v/>
      </c>
      <c r="Q37" s="1"/>
      <c r="R37" s="1"/>
      <c r="S37" s="1"/>
      <c r="T37" s="1"/>
      <c r="U37" s="1"/>
      <c r="V37" s="1"/>
    </row>
    <row r="38" spans="1:22" ht="16" thickBot="1" x14ac:dyDescent="0.25">
      <c r="A38" s="1"/>
      <c r="F38" s="1"/>
      <c r="G38" s="1"/>
      <c r="K38" s="676" t="s">
        <v>144</v>
      </c>
      <c r="L38" s="677"/>
      <c r="M38" s="236" t="str">
        <f>IFERROR(('Income Statement_P&amp;L'!K12-'Income Statement_P&amp;L'!E12)/(Balance!J18-Balance!E18),"")</f>
        <v/>
      </c>
      <c r="Q38" s="1"/>
      <c r="R38" s="1"/>
      <c r="S38" s="1"/>
      <c r="T38" s="1"/>
      <c r="U38" s="1"/>
      <c r="V38" s="1"/>
    </row>
    <row r="39" spans="1:22" x14ac:dyDescent="0.2">
      <c r="A39" s="1"/>
      <c r="F39" s="1"/>
      <c r="G39" s="1"/>
      <c r="Q39" s="1"/>
      <c r="R39" s="1"/>
      <c r="S39" s="1"/>
      <c r="T39" s="1"/>
      <c r="U39" s="1"/>
      <c r="V39" s="1"/>
    </row>
    <row r="40" spans="1:22" x14ac:dyDescent="0.2">
      <c r="A40" s="1"/>
      <c r="F40" s="1"/>
      <c r="G40" s="1"/>
      <c r="Q40" s="1"/>
      <c r="R40" s="1"/>
      <c r="S40" s="1"/>
      <c r="T40" s="1"/>
      <c r="U40" s="1"/>
      <c r="V40" s="1"/>
    </row>
    <row r="41" spans="1:22" x14ac:dyDescent="0.2">
      <c r="A41" s="1"/>
      <c r="F41" s="1"/>
      <c r="G41" s="1"/>
      <c r="Q41" s="1"/>
      <c r="R41" s="1"/>
      <c r="S41" s="1"/>
      <c r="T41" s="1"/>
      <c r="U41" s="1"/>
      <c r="V41" s="1"/>
    </row>
    <row r="42" spans="1:22" x14ac:dyDescent="0.2">
      <c r="A42" s="1"/>
      <c r="F42" s="1"/>
      <c r="G42" s="1"/>
      <c r="Q42" s="1"/>
      <c r="R42" s="1"/>
      <c r="S42" s="1"/>
      <c r="T42" s="1"/>
      <c r="U42" s="1"/>
      <c r="V42" s="1"/>
    </row>
    <row r="43" spans="1:22" x14ac:dyDescent="0.2">
      <c r="A43" s="1"/>
      <c r="F43" s="1"/>
      <c r="G43" s="1"/>
      <c r="Q43" s="1"/>
      <c r="R43" s="1"/>
      <c r="S43" s="1"/>
      <c r="T43" s="1"/>
      <c r="U43" s="1"/>
      <c r="V43" s="1"/>
    </row>
    <row r="44" spans="1:22" x14ac:dyDescent="0.2">
      <c r="A44" s="1"/>
      <c r="F44" s="1"/>
      <c r="G44" s="1"/>
      <c r="Q44" s="1"/>
      <c r="R44" s="1"/>
      <c r="S44" s="1"/>
      <c r="T44" s="1"/>
      <c r="U44" s="1"/>
      <c r="V44" s="1"/>
    </row>
    <row r="45" spans="1:22" x14ac:dyDescent="0.2">
      <c r="A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51" spans="2:16" ht="21" x14ac:dyDescent="0.25">
      <c r="B51" s="683" t="s">
        <v>173</v>
      </c>
      <c r="C51" s="683"/>
      <c r="D51" s="683"/>
      <c r="E51" s="683"/>
      <c r="F51" s="683"/>
      <c r="G51" s="683"/>
      <c r="H51" s="683"/>
      <c r="I51" s="683"/>
      <c r="J51" s="683"/>
      <c r="K51" s="683"/>
      <c r="L51" s="683"/>
      <c r="M51" s="683"/>
      <c r="N51" s="683"/>
      <c r="O51" s="683"/>
      <c r="P51" s="683"/>
    </row>
    <row r="52" spans="2:16" outlineLevel="1" x14ac:dyDescent="0.2">
      <c r="B52" s="29"/>
      <c r="F52" s="11"/>
      <c r="G52" s="11"/>
      <c r="H52" s="11"/>
      <c r="I52" s="11"/>
    </row>
    <row r="53" spans="2:16" ht="16" outlineLevel="1" thickBot="1" x14ac:dyDescent="0.25">
      <c r="B53" s="29"/>
      <c r="F53" s="11"/>
      <c r="G53" s="11"/>
      <c r="H53" s="11"/>
      <c r="I53" s="11"/>
    </row>
    <row r="54" spans="2:16" ht="16" outlineLevel="1" thickBot="1" x14ac:dyDescent="0.25">
      <c r="B54" s="29"/>
      <c r="C54" s="528" t="s">
        <v>30</v>
      </c>
      <c r="D54" s="529"/>
      <c r="E54" s="605">
        <f>' Cash Flow'!J11</f>
        <v>0</v>
      </c>
      <c r="F54" s="12"/>
      <c r="G54" s="535" t="s">
        <v>27</v>
      </c>
      <c r="H54" s="536" t="s">
        <v>28</v>
      </c>
      <c r="I54" s="537" t="s">
        <v>29</v>
      </c>
    </row>
    <row r="55" spans="2:16" ht="16" outlineLevel="1" thickBot="1" x14ac:dyDescent="0.25">
      <c r="B55" s="29"/>
      <c r="C55" s="530" t="s">
        <v>22</v>
      </c>
      <c r="D55" s="531"/>
      <c r="E55" s="73" t="e">
        <f>AVERAGE(' Cash Flow'!K13:O13)</f>
        <v>#DIV/0!</v>
      </c>
      <c r="F55" s="19"/>
      <c r="G55" s="24">
        <v>1</v>
      </c>
      <c r="H55" s="23" t="e">
        <f>(E54*I55)+E54</f>
        <v>#DIV/0!</v>
      </c>
      <c r="I55" s="25" t="e">
        <f>$E$55</f>
        <v>#DIV/0!</v>
      </c>
    </row>
    <row r="56" spans="2:16" ht="16" outlineLevel="1" thickBot="1" x14ac:dyDescent="0.25">
      <c r="B56" s="29"/>
      <c r="C56" s="532" t="s">
        <v>23</v>
      </c>
      <c r="D56" s="531"/>
      <c r="E56" s="73">
        <v>0.02</v>
      </c>
      <c r="F56" s="11"/>
      <c r="G56" s="24">
        <v>2</v>
      </c>
      <c r="H56" s="23" t="e">
        <f>(H55*I56)+H55</f>
        <v>#DIV/0!</v>
      </c>
      <c r="I56" s="25" t="e">
        <f>$E$55</f>
        <v>#DIV/0!</v>
      </c>
    </row>
    <row r="57" spans="2:16" ht="16" outlineLevel="1" thickBot="1" x14ac:dyDescent="0.25">
      <c r="B57" s="29"/>
      <c r="C57" s="532" t="s">
        <v>24</v>
      </c>
      <c r="D57" s="531"/>
      <c r="E57" s="73">
        <v>7.0000000000000007E-2</v>
      </c>
      <c r="G57" s="24">
        <v>3</v>
      </c>
      <c r="H57" s="23" t="e">
        <f>(H56*I57)+H56</f>
        <v>#DIV/0!</v>
      </c>
      <c r="I57" s="25" t="e">
        <f>$E$55</f>
        <v>#DIV/0!</v>
      </c>
    </row>
    <row r="58" spans="2:16" ht="16" outlineLevel="1" thickBot="1" x14ac:dyDescent="0.25">
      <c r="B58" s="29"/>
      <c r="C58" s="532" t="s">
        <v>25</v>
      </c>
      <c r="D58" s="531"/>
      <c r="E58" s="31">
        <f>'Income Statement_P&amp;L'!K25</f>
        <v>0</v>
      </c>
      <c r="F58" s="11"/>
      <c r="G58" s="24">
        <v>4</v>
      </c>
      <c r="H58" s="23" t="e">
        <f>(H57*I58)+H57</f>
        <v>#DIV/0!</v>
      </c>
      <c r="I58" s="25" t="e">
        <f>$E$55</f>
        <v>#DIV/0!</v>
      </c>
    </row>
    <row r="59" spans="2:16" ht="16" outlineLevel="1" thickBot="1" x14ac:dyDescent="0.25">
      <c r="B59" s="29"/>
      <c r="C59" s="533" t="s">
        <v>26</v>
      </c>
      <c r="D59" s="534"/>
      <c r="E59" s="20">
        <f>Balance!J13-Balance!J6</f>
        <v>0</v>
      </c>
      <c r="F59" s="11"/>
      <c r="G59" s="26">
        <v>5</v>
      </c>
      <c r="H59" s="27" t="e">
        <f>(H58*I59)+H58</f>
        <v>#DIV/0!</v>
      </c>
      <c r="I59" s="28" t="e">
        <f>$E$55</f>
        <v>#DIV/0!</v>
      </c>
    </row>
    <row r="60" spans="2:16" ht="16" outlineLevel="1" thickBot="1" x14ac:dyDescent="0.25">
      <c r="B60" s="29"/>
      <c r="F60" s="11"/>
      <c r="G60" s="11"/>
      <c r="H60" s="11"/>
      <c r="I60" s="11"/>
    </row>
    <row r="61" spans="2:16" outlineLevel="1" x14ac:dyDescent="0.2">
      <c r="B61" s="29"/>
      <c r="C61" s="11"/>
      <c r="D61" s="11"/>
      <c r="E61" s="538" t="s">
        <v>33</v>
      </c>
      <c r="F61" s="32"/>
      <c r="G61" s="33" t="e">
        <f>(H59*(1+E56))</f>
        <v>#DIV/0!</v>
      </c>
      <c r="I61" s="11"/>
    </row>
    <row r="62" spans="2:16" outlineLevel="1" x14ac:dyDescent="0.2">
      <c r="B62" s="29"/>
      <c r="E62" s="539"/>
      <c r="F62" s="34"/>
      <c r="G62" s="35"/>
      <c r="I62" s="11"/>
    </row>
    <row r="63" spans="2:16" outlineLevel="1" x14ac:dyDescent="0.2">
      <c r="B63" s="29"/>
      <c r="E63" s="540" t="s">
        <v>31</v>
      </c>
      <c r="F63" s="34"/>
      <c r="G63" s="36" t="e">
        <f>SUM(H55:H59)</f>
        <v>#DIV/0!</v>
      </c>
      <c r="I63" s="11"/>
    </row>
    <row r="64" spans="2:16" outlineLevel="1" x14ac:dyDescent="0.2">
      <c r="B64" s="29"/>
      <c r="E64" s="541"/>
      <c r="F64" s="34"/>
      <c r="G64" s="36"/>
      <c r="I64" s="11"/>
    </row>
    <row r="65" spans="2:9" outlineLevel="1" x14ac:dyDescent="0.2">
      <c r="B65" s="29"/>
      <c r="E65" s="541" t="s">
        <v>37</v>
      </c>
      <c r="F65" s="34"/>
      <c r="G65" s="36" t="e">
        <f>((G61/($E$57-$E$56)))/(1+$E$57)^G59</f>
        <v>#DIV/0!</v>
      </c>
      <c r="I65" s="11"/>
    </row>
    <row r="66" spans="2:9" outlineLevel="1" x14ac:dyDescent="0.2">
      <c r="B66" s="29"/>
      <c r="E66" s="541" t="s">
        <v>36</v>
      </c>
      <c r="F66" s="34"/>
      <c r="G66" s="36">
        <f>Balance!J6</f>
        <v>0</v>
      </c>
      <c r="I66" s="11"/>
    </row>
    <row r="67" spans="2:9" outlineLevel="1" x14ac:dyDescent="0.2">
      <c r="B67" s="29"/>
      <c r="E67" s="541" t="s">
        <v>35</v>
      </c>
      <c r="F67" s="34"/>
      <c r="G67" s="36" t="e">
        <f>G63+G65</f>
        <v>#DIV/0!</v>
      </c>
      <c r="I67" s="11"/>
    </row>
    <row r="68" spans="2:9" outlineLevel="1" x14ac:dyDescent="0.2">
      <c r="B68" s="29"/>
      <c r="C68" s="13"/>
      <c r="D68" s="14"/>
      <c r="E68" s="541"/>
      <c r="F68" s="34"/>
      <c r="G68" s="36"/>
      <c r="I68" s="11"/>
    </row>
    <row r="69" spans="2:9" ht="16" outlineLevel="1" thickBot="1" x14ac:dyDescent="0.25">
      <c r="B69" s="29"/>
      <c r="C69" s="13"/>
      <c r="D69" s="14"/>
      <c r="E69" s="542" t="s">
        <v>32</v>
      </c>
      <c r="F69" s="37"/>
      <c r="G69" s="38">
        <f>E58</f>
        <v>0</v>
      </c>
      <c r="I69" s="11"/>
    </row>
    <row r="70" spans="2:9" ht="16" outlineLevel="1" thickBot="1" x14ac:dyDescent="0.25">
      <c r="B70" s="29"/>
      <c r="C70" s="13"/>
      <c r="D70" s="14"/>
      <c r="E70" s="18"/>
      <c r="F70" s="22"/>
      <c r="G70" s="22"/>
      <c r="H70" s="21"/>
      <c r="I70" s="11"/>
    </row>
    <row r="71" spans="2:9" ht="17" outlineLevel="1" thickBot="1" x14ac:dyDescent="0.25">
      <c r="B71" s="29"/>
      <c r="C71" s="13"/>
      <c r="D71" s="606" t="s">
        <v>34</v>
      </c>
      <c r="E71" s="607"/>
      <c r="F71" s="607"/>
      <c r="G71" s="607"/>
      <c r="H71" s="608" t="str">
        <f>IFERROR((G67-E59)/G69,"")</f>
        <v/>
      </c>
      <c r="I71" s="11"/>
    </row>
    <row r="72" spans="2:9" ht="16" outlineLevel="1" thickBot="1" x14ac:dyDescent="0.25">
      <c r="B72" s="29"/>
      <c r="C72" s="13"/>
      <c r="D72" s="678" t="s">
        <v>129</v>
      </c>
      <c r="E72" s="679"/>
      <c r="F72" s="679"/>
      <c r="G72" s="680"/>
      <c r="H72" s="231" t="str">
        <f>IFERROR(1-(H7/H71),"")</f>
        <v/>
      </c>
      <c r="I72" s="11"/>
    </row>
    <row r="73" spans="2:9" x14ac:dyDescent="0.2">
      <c r="B73" s="29"/>
      <c r="C73" s="13"/>
      <c r="D73" s="17"/>
      <c r="E73" s="15"/>
      <c r="F73" s="16"/>
      <c r="G73" s="11"/>
      <c r="H73" s="11"/>
      <c r="I73" s="11"/>
    </row>
    <row r="74" spans="2:9" x14ac:dyDescent="0.2">
      <c r="C74" s="13"/>
      <c r="D74" s="17"/>
      <c r="E74" s="15"/>
      <c r="F74" s="16"/>
      <c r="G74" s="11"/>
      <c r="H74" s="11"/>
      <c r="I74" s="11"/>
    </row>
    <row r="75" spans="2:9" x14ac:dyDescent="0.2">
      <c r="G75" s="30"/>
      <c r="H75" s="11"/>
      <c r="I75" s="11"/>
    </row>
    <row r="76" spans="2:9" x14ac:dyDescent="0.2">
      <c r="G76" s="30"/>
      <c r="H76" s="11"/>
      <c r="I76" s="11"/>
    </row>
    <row r="77" spans="2:9" x14ac:dyDescent="0.2">
      <c r="G77" s="30"/>
      <c r="H77" s="11"/>
      <c r="I77" s="11"/>
    </row>
    <row r="78" spans="2:9" x14ac:dyDescent="0.2">
      <c r="G78" s="30"/>
      <c r="H78" s="11"/>
      <c r="I78" s="11"/>
    </row>
    <row r="79" spans="2:9" x14ac:dyDescent="0.2">
      <c r="G79" s="30"/>
      <c r="H79" s="11"/>
      <c r="I79" s="11"/>
    </row>
    <row r="80" spans="2:9" x14ac:dyDescent="0.2">
      <c r="G80" s="30"/>
      <c r="H80" s="11"/>
      <c r="I80" s="11"/>
    </row>
    <row r="81" spans="3:9" x14ac:dyDescent="0.2">
      <c r="G81" s="30"/>
      <c r="H81" s="11"/>
      <c r="I81" s="11"/>
    </row>
    <row r="82" spans="3:9" x14ac:dyDescent="0.2">
      <c r="G82" s="30"/>
      <c r="H82" s="11"/>
      <c r="I82" s="11"/>
    </row>
    <row r="83" spans="3:9" x14ac:dyDescent="0.2">
      <c r="G83" s="30"/>
      <c r="H83" s="11"/>
      <c r="I83" s="11"/>
    </row>
    <row r="84" spans="3:9" x14ac:dyDescent="0.2">
      <c r="G84" s="30"/>
      <c r="H84" s="11"/>
      <c r="I84" s="11"/>
    </row>
    <row r="85" spans="3:9" x14ac:dyDescent="0.2">
      <c r="G85" s="30"/>
      <c r="H85" s="11"/>
      <c r="I85" s="11"/>
    </row>
    <row r="86" spans="3:9" x14ac:dyDescent="0.2">
      <c r="C86" s="30"/>
      <c r="D86" s="30"/>
      <c r="E86" s="30"/>
      <c r="F86" s="30"/>
      <c r="G86" s="30"/>
      <c r="H86" s="11"/>
      <c r="I86" s="11"/>
    </row>
  </sheetData>
  <sheetProtection selectLockedCells="1"/>
  <mergeCells count="19">
    <mergeCell ref="D3:K3"/>
    <mergeCell ref="B5:P5"/>
    <mergeCell ref="E7:G7"/>
    <mergeCell ref="K34:L34"/>
    <mergeCell ref="D72:G72"/>
    <mergeCell ref="P12:Q12"/>
    <mergeCell ref="B51:P51"/>
    <mergeCell ref="I29:O29"/>
    <mergeCell ref="P13:Q13"/>
    <mergeCell ref="P14:Q14"/>
    <mergeCell ref="P15:Q15"/>
    <mergeCell ref="P17:Q17"/>
    <mergeCell ref="K37:L37"/>
    <mergeCell ref="K36:L36"/>
    <mergeCell ref="K35:L35"/>
    <mergeCell ref="K38:L38"/>
    <mergeCell ref="K33:L33"/>
    <mergeCell ref="K32:L32"/>
    <mergeCell ref="K30:M30"/>
  </mergeCells>
  <conditionalFormatting sqref="I20:O27">
    <cfRule type="expression" dxfId="2" priority="6">
      <formula>$M$20=FALSE</formula>
    </cfRule>
  </conditionalFormatting>
  <conditionalFormatting sqref="M21 E18:K18 P17:R17">
    <cfRule type="expression" dxfId="1" priority="5">
      <formula>$Q$22=FALSE</formula>
    </cfRule>
  </conditionalFormatting>
  <conditionalFormatting sqref="P12:S15 C12:O16">
    <cfRule type="expression" dxfId="0" priority="4">
      <formula>$Q$22=TRUE</formula>
    </cfRule>
  </conditionalFormatting>
  <conditionalFormatting sqref="D13:E16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{07C5ECF5-699A-46D7-B60B-81729896F3E5}</x14:id>
        </ext>
      </extLst>
    </cfRule>
  </conditionalFormatting>
  <conditionalFormatting sqref="H72">
    <cfRule type="dataBar" priority="2">
      <dataBar>
        <cfvo type="num" val="0"/>
        <cfvo type="num" val="1"/>
        <color rgb="FF63C384"/>
      </dataBar>
    </cfRule>
  </conditionalFormatting>
  <conditionalFormatting sqref="H71">
    <cfRule type="dataBar" priority="1">
      <dataBar>
        <cfvo type="num" val="0"/>
        <cfvo type="num" val="1"/>
        <color rgb="FF63C384"/>
      </dataBar>
    </cfRule>
  </conditionalFormatting>
  <dataValidations disablePrompts="1" count="1">
    <dataValidation type="decimal" allowBlank="1" showInputMessage="1" showErrorMessage="1" error="El valor introducido ha de ser numérico" sqref="R17" xr:uid="{00000000-0002-0000-0300-000000000000}">
      <formula1>-1000</formula1>
      <formula2>1000</formula2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11</xdr:col>
                    <xdr:colOff>673100</xdr:colOff>
                    <xdr:row>16</xdr:row>
                    <xdr:rowOff>63500</xdr:rowOff>
                  </from>
                  <to>
                    <xdr:col>12</xdr:col>
                    <xdr:colOff>114300</xdr:colOff>
                    <xdr:row>18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673100</xdr:colOff>
                    <xdr:row>17</xdr:row>
                    <xdr:rowOff>317500</xdr:rowOff>
                  </from>
                  <to>
                    <xdr:col>12</xdr:col>
                    <xdr:colOff>0</xdr:colOff>
                    <xdr:row>19</xdr:row>
                    <xdr:rowOff>12700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C5ECF5-699A-46D7-B60B-81729896F3E5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D13:E16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R49"/>
  <sheetViews>
    <sheetView showGridLines="0" workbookViewId="0">
      <pane ySplit="2" topLeftCell="A3" activePane="bottomLeft" state="frozen"/>
      <selection activeCell="C1" sqref="C1"/>
      <selection pane="bottomLeft" activeCell="G8" sqref="G8"/>
    </sheetView>
  </sheetViews>
  <sheetFormatPr baseColWidth="10" defaultColWidth="9.1640625" defaultRowHeight="15" x14ac:dyDescent="0.2"/>
  <cols>
    <col min="1" max="1" width="3.6640625" customWidth="1"/>
    <col min="2" max="2" width="4.5" customWidth="1"/>
    <col min="3" max="3" width="26.5" customWidth="1"/>
    <col min="4" max="5" width="11.6640625" customWidth="1"/>
    <col min="6" max="6" width="16.83203125" customWidth="1"/>
    <col min="7" max="7" width="11.5" customWidth="1"/>
    <col min="8" max="8" width="15.5" customWidth="1"/>
    <col min="9" max="9" width="11.1640625" customWidth="1"/>
    <col min="10" max="10" width="13.5" customWidth="1"/>
    <col min="11" max="11" width="13.6640625" customWidth="1"/>
    <col min="12" max="12" width="11.33203125" customWidth="1"/>
    <col min="13" max="13" width="12" customWidth="1"/>
    <col min="15" max="15" width="11.83203125" customWidth="1"/>
  </cols>
  <sheetData>
    <row r="1" spans="3:18" ht="27" thickBot="1" x14ac:dyDescent="0.35">
      <c r="D1" s="695" t="s">
        <v>78</v>
      </c>
      <c r="E1" s="696"/>
      <c r="F1" s="696"/>
      <c r="G1" s="696"/>
      <c r="H1" s="696"/>
      <c r="I1" s="696"/>
      <c r="J1" s="696"/>
      <c r="K1" s="697"/>
    </row>
    <row r="2" spans="3:18" ht="17" thickBot="1" x14ac:dyDescent="0.25">
      <c r="D2" s="63">
        <v>2009</v>
      </c>
      <c r="E2" s="64">
        <f>D2+1</f>
        <v>2010</v>
      </c>
      <c r="F2" s="64">
        <f t="shared" ref="F2:M2" si="0">E2+1</f>
        <v>2011</v>
      </c>
      <c r="G2" s="64">
        <f t="shared" si="0"/>
        <v>2012</v>
      </c>
      <c r="H2" s="64">
        <f t="shared" si="0"/>
        <v>2013</v>
      </c>
      <c r="I2" s="64">
        <f t="shared" si="0"/>
        <v>2014</v>
      </c>
      <c r="J2" s="64">
        <f t="shared" si="0"/>
        <v>2015</v>
      </c>
      <c r="K2" s="116">
        <f t="shared" si="0"/>
        <v>2016</v>
      </c>
      <c r="L2" s="90">
        <f t="shared" si="0"/>
        <v>2017</v>
      </c>
      <c r="M2" s="90">
        <f t="shared" si="0"/>
        <v>2018</v>
      </c>
      <c r="N2" s="99"/>
      <c r="O2" s="99" t="s">
        <v>116</v>
      </c>
    </row>
    <row r="3" spans="3:18" ht="16" x14ac:dyDescent="0.2">
      <c r="C3" s="164" t="s">
        <v>121</v>
      </c>
      <c r="D3" s="180"/>
      <c r="E3" s="172"/>
      <c r="F3" s="172"/>
      <c r="G3" s="173"/>
      <c r="H3" s="173"/>
      <c r="I3" s="173"/>
      <c r="J3" s="173"/>
      <c r="K3" s="174"/>
      <c r="L3" s="84"/>
      <c r="M3" s="199"/>
      <c r="N3" s="140"/>
      <c r="O3" s="141"/>
    </row>
    <row r="4" spans="3:18" ht="16" x14ac:dyDescent="0.2">
      <c r="C4" s="165" t="s">
        <v>122</v>
      </c>
      <c r="D4" s="180"/>
      <c r="E4" s="172"/>
      <c r="F4" s="172"/>
      <c r="G4" s="173"/>
      <c r="H4" s="173"/>
      <c r="I4" s="173"/>
      <c r="J4" s="173"/>
      <c r="K4" s="174"/>
      <c r="L4" s="41"/>
      <c r="M4" s="91"/>
      <c r="N4" s="29"/>
      <c r="O4" s="142"/>
    </row>
    <row r="5" spans="3:18" ht="16" x14ac:dyDescent="0.2">
      <c r="C5" s="165" t="s">
        <v>123</v>
      </c>
      <c r="D5" s="180"/>
      <c r="E5" s="172"/>
      <c r="F5" s="172"/>
      <c r="G5" s="173"/>
      <c r="H5" s="173"/>
      <c r="I5" s="173"/>
      <c r="J5" s="173"/>
      <c r="K5" s="174"/>
      <c r="L5" s="41"/>
      <c r="M5" s="91"/>
      <c r="N5" s="29"/>
      <c r="O5" s="142"/>
    </row>
    <row r="6" spans="3:18" ht="16" x14ac:dyDescent="0.2">
      <c r="C6" s="165" t="s">
        <v>124</v>
      </c>
      <c r="D6" s="180"/>
      <c r="E6" s="172"/>
      <c r="F6" s="172"/>
      <c r="G6" s="173"/>
      <c r="H6" s="173"/>
      <c r="I6" s="173"/>
      <c r="J6" s="173"/>
      <c r="K6" s="174"/>
      <c r="L6" s="41"/>
      <c r="M6" s="91"/>
      <c r="N6" s="29"/>
      <c r="O6" s="142"/>
    </row>
    <row r="7" spans="3:18" ht="17" thickBot="1" x14ac:dyDescent="0.25">
      <c r="C7" s="166" t="s">
        <v>126</v>
      </c>
      <c r="D7" s="180"/>
      <c r="E7" s="172"/>
      <c r="F7" s="172"/>
      <c r="G7" s="173"/>
      <c r="H7" s="173"/>
      <c r="I7" s="173"/>
      <c r="J7" s="173"/>
      <c r="K7" s="174"/>
      <c r="L7" s="85"/>
      <c r="M7" s="217"/>
      <c r="N7" s="29"/>
      <c r="O7" s="142"/>
    </row>
    <row r="8" spans="3:18" ht="17" thickBot="1" x14ac:dyDescent="0.25">
      <c r="C8" s="122" t="s">
        <v>87</v>
      </c>
      <c r="D8" s="92"/>
      <c r="E8" s="93"/>
      <c r="F8" s="93"/>
      <c r="G8" s="94"/>
      <c r="H8" s="94"/>
      <c r="I8" s="94"/>
      <c r="J8" s="94"/>
      <c r="K8" s="124"/>
      <c r="L8" s="218">
        <f>IFERROR((K8*$P$8)+K8,"")</f>
        <v>0</v>
      </c>
      <c r="M8" s="219">
        <f>IFERROR((L8*$P$8)+L8,"")</f>
        <v>0</v>
      </c>
      <c r="N8" s="87"/>
      <c r="O8" s="214" t="s">
        <v>73</v>
      </c>
      <c r="P8" s="204">
        <v>0.06</v>
      </c>
      <c r="R8" s="168" t="str">
        <f>IFERROR(AVERAGE(D10:K10),"")</f>
        <v/>
      </c>
    </row>
    <row r="9" spans="3:18" ht="17" thickBot="1" x14ac:dyDescent="0.25">
      <c r="C9" s="170" t="s">
        <v>125</v>
      </c>
      <c r="D9" s="181"/>
      <c r="E9" s="182" t="str">
        <f>IFERROR((E8-D8)/D8,"")</f>
        <v/>
      </c>
      <c r="F9" s="182" t="str">
        <f t="shared" ref="F9:K9" si="1">IFERROR((F8-E8)/E8,"")</f>
        <v/>
      </c>
      <c r="G9" s="182" t="str">
        <f t="shared" si="1"/>
        <v/>
      </c>
      <c r="H9" s="182" t="str">
        <f t="shared" si="1"/>
        <v/>
      </c>
      <c r="I9" s="182" t="str">
        <f t="shared" si="1"/>
        <v/>
      </c>
      <c r="J9" s="182" t="str">
        <f t="shared" si="1"/>
        <v/>
      </c>
      <c r="K9" s="182" t="str">
        <f t="shared" si="1"/>
        <v/>
      </c>
      <c r="L9" s="220">
        <f>P8</f>
        <v>0.06</v>
      </c>
      <c r="M9" s="221">
        <f>P8</f>
        <v>0.06</v>
      </c>
      <c r="N9" s="142"/>
      <c r="O9" s="215"/>
      <c r="R9" s="168" t="str">
        <f>IFERROR(AVERAGE(D10:K10),"")</f>
        <v/>
      </c>
    </row>
    <row r="10" spans="3:18" ht="17" thickBot="1" x14ac:dyDescent="0.25">
      <c r="C10" s="169" t="s">
        <v>88</v>
      </c>
      <c r="D10" s="149"/>
      <c r="E10" s="150"/>
      <c r="F10" s="150"/>
      <c r="G10" s="151"/>
      <c r="H10" s="151"/>
      <c r="I10" s="151"/>
      <c r="J10" s="151"/>
      <c r="K10" s="153"/>
      <c r="L10" s="222">
        <v>3000</v>
      </c>
      <c r="M10" s="223">
        <v>3000</v>
      </c>
      <c r="N10" s="88"/>
      <c r="O10" s="216" t="s">
        <v>116</v>
      </c>
      <c r="P10" s="195" t="str">
        <f>IFERROR(AVERAGE(D10:K10),"")</f>
        <v/>
      </c>
      <c r="R10" s="168" t="str">
        <f>IFERROR(AVERAGE(D10:K10),"")</f>
        <v/>
      </c>
    </row>
    <row r="11" spans="3:18" ht="17" thickBot="1" x14ac:dyDescent="0.25">
      <c r="C11" s="143" t="s">
        <v>125</v>
      </c>
      <c r="D11" s="181"/>
      <c r="E11" s="182" t="str">
        <f>IFERROR((E10-D10)/D10,"")</f>
        <v/>
      </c>
      <c r="F11" s="182" t="str">
        <f t="shared" ref="F11:K11" si="2">IFERROR((F10-E10)/E10,"")</f>
        <v/>
      </c>
      <c r="G11" s="182" t="str">
        <f t="shared" si="2"/>
        <v/>
      </c>
      <c r="H11" s="182" t="str">
        <f t="shared" si="2"/>
        <v/>
      </c>
      <c r="I11" s="182" t="str">
        <f t="shared" si="2"/>
        <v/>
      </c>
      <c r="J11" s="182" t="str">
        <f t="shared" si="2"/>
        <v/>
      </c>
      <c r="K11" s="182" t="str">
        <f t="shared" si="2"/>
        <v/>
      </c>
      <c r="L11" s="222"/>
      <c r="M11" s="223"/>
      <c r="N11" s="142"/>
      <c r="O11" s="215"/>
      <c r="R11" s="168" t="str">
        <f>IFERROR(AVERAGE(D10:K10),"")</f>
        <v/>
      </c>
    </row>
    <row r="12" spans="3:18" ht="17" thickBot="1" x14ac:dyDescent="0.25">
      <c r="C12" s="121" t="s">
        <v>89</v>
      </c>
      <c r="D12" s="149"/>
      <c r="E12" s="150"/>
      <c r="F12" s="150"/>
      <c r="G12" s="151"/>
      <c r="H12" s="151"/>
      <c r="I12" s="151"/>
      <c r="J12" s="151"/>
      <c r="K12" s="153"/>
      <c r="L12" s="222">
        <v>9000</v>
      </c>
      <c r="M12" s="223">
        <v>10000</v>
      </c>
      <c r="N12" s="88"/>
      <c r="O12" s="91"/>
      <c r="R12" s="168" t="str">
        <f>IFERROR(AVERAGE(D10:K10),"")</f>
        <v/>
      </c>
    </row>
    <row r="13" spans="3:18" ht="17" thickBot="1" x14ac:dyDescent="0.25">
      <c r="C13" s="121" t="s">
        <v>90</v>
      </c>
      <c r="D13" s="149"/>
      <c r="E13" s="150"/>
      <c r="F13" s="150"/>
      <c r="G13" s="151"/>
      <c r="H13" s="151"/>
      <c r="I13" s="151"/>
      <c r="J13" s="151"/>
      <c r="K13" s="153"/>
      <c r="L13" s="200">
        <f>IFERROR((K13*$P$8)+K13,"")</f>
        <v>0</v>
      </c>
      <c r="M13" s="201">
        <f>IFERROR((L13*$P$8)+L13,"")</f>
        <v>0</v>
      </c>
      <c r="N13" s="88"/>
      <c r="O13" s="91"/>
      <c r="R13" s="168" t="str">
        <f>IFERROR(AVERAGE(D10:K10),"")</f>
        <v/>
      </c>
    </row>
    <row r="14" spans="3:18" ht="17" thickBot="1" x14ac:dyDescent="0.25">
      <c r="C14" s="121" t="s">
        <v>2</v>
      </c>
      <c r="D14" s="187"/>
      <c r="E14" s="188"/>
      <c r="F14" s="188"/>
      <c r="G14" s="189"/>
      <c r="H14" s="189"/>
      <c r="I14" s="189"/>
      <c r="J14" s="189"/>
      <c r="K14" s="197"/>
      <c r="L14" s="218">
        <f>IFERROR((K14*$P$15)+K14,"")</f>
        <v>0</v>
      </c>
      <c r="M14" s="219">
        <f>IFERROR((L14*$P$15)+L14,"")</f>
        <v>0</v>
      </c>
      <c r="N14" s="88"/>
      <c r="O14" s="91"/>
      <c r="R14" s="168" t="str">
        <f>IFERROR(AVERAGE(D10:K10),"")</f>
        <v/>
      </c>
    </row>
    <row r="15" spans="3:18" ht="17" thickBot="1" x14ac:dyDescent="0.25">
      <c r="C15" s="186" t="s">
        <v>91</v>
      </c>
      <c r="D15" s="185" t="str">
        <f>IFERROR(D14/D8,"")</f>
        <v/>
      </c>
      <c r="E15" s="193" t="str">
        <f t="shared" ref="E15:K15" si="3">IFERROR(E14/E8,"")</f>
        <v/>
      </c>
      <c r="F15" s="193" t="str">
        <f t="shared" si="3"/>
        <v/>
      </c>
      <c r="G15" s="193" t="str">
        <f t="shared" si="3"/>
        <v/>
      </c>
      <c r="H15" s="193" t="str">
        <f t="shared" si="3"/>
        <v/>
      </c>
      <c r="I15" s="193" t="str">
        <f t="shared" si="3"/>
        <v/>
      </c>
      <c r="J15" s="193" t="str">
        <f t="shared" si="3"/>
        <v/>
      </c>
      <c r="K15" s="193" t="str">
        <f t="shared" si="3"/>
        <v/>
      </c>
      <c r="L15" s="224">
        <f>P15</f>
        <v>0.04</v>
      </c>
      <c r="M15" s="225">
        <f>P15</f>
        <v>0.04</v>
      </c>
      <c r="N15" s="89"/>
      <c r="O15" s="214" t="s">
        <v>73</v>
      </c>
      <c r="P15" s="205">
        <v>0.04</v>
      </c>
    </row>
    <row r="16" spans="3:18" ht="16" x14ac:dyDescent="0.2">
      <c r="C16" s="121" t="s">
        <v>92</v>
      </c>
      <c r="D16" s="190"/>
      <c r="E16" s="191"/>
      <c r="F16" s="191"/>
      <c r="G16" s="192"/>
      <c r="H16" s="192"/>
      <c r="I16" s="192"/>
      <c r="J16" s="192"/>
      <c r="K16" s="198"/>
      <c r="L16" s="218">
        <f>IFERROR((K16*$P$8)+K16,"")</f>
        <v>0</v>
      </c>
      <c r="M16" s="219">
        <f>IFERROR((L16*$P$8)+L16,"")</f>
        <v>0</v>
      </c>
      <c r="N16" s="86"/>
      <c r="O16" s="88"/>
    </row>
    <row r="17" spans="3:16" ht="17" thickBot="1" x14ac:dyDescent="0.25">
      <c r="C17" s="152" t="s">
        <v>118</v>
      </c>
      <c r="D17" s="97">
        <f>D14-D16</f>
        <v>0</v>
      </c>
      <c r="E17" s="96">
        <f t="shared" ref="E17:K17" si="4">E14-E16</f>
        <v>0</v>
      </c>
      <c r="F17" s="96">
        <f t="shared" si="4"/>
        <v>0</v>
      </c>
      <c r="G17" s="96">
        <f t="shared" si="4"/>
        <v>0</v>
      </c>
      <c r="H17" s="96">
        <f t="shared" si="4"/>
        <v>0</v>
      </c>
      <c r="I17" s="96">
        <f t="shared" si="4"/>
        <v>0</v>
      </c>
      <c r="J17" s="96">
        <f t="shared" si="4"/>
        <v>0</v>
      </c>
      <c r="K17" s="96">
        <f t="shared" si="4"/>
        <v>0</v>
      </c>
      <c r="L17" s="218">
        <f t="shared" ref="L17" si="5">L14-L16</f>
        <v>0</v>
      </c>
      <c r="M17" s="219">
        <f t="shared" ref="M17" si="6">M14-M16</f>
        <v>0</v>
      </c>
      <c r="N17" s="86"/>
      <c r="O17" s="88"/>
    </row>
    <row r="18" spans="3:16" ht="17" thickBot="1" x14ac:dyDescent="0.25">
      <c r="C18" s="121" t="s">
        <v>93</v>
      </c>
      <c r="D18" s="149"/>
      <c r="E18" s="150"/>
      <c r="F18" s="150"/>
      <c r="G18" s="151"/>
      <c r="H18" s="151"/>
      <c r="I18" s="151"/>
      <c r="J18" s="151"/>
      <c r="K18" s="153"/>
      <c r="L18" s="218">
        <f>IFERROR((K18*$P$18)+K18,"")</f>
        <v>0</v>
      </c>
      <c r="M18" s="219">
        <f>IFERROR((L18*$P$18)+L18,"")</f>
        <v>0</v>
      </c>
      <c r="N18" s="86"/>
      <c r="O18" s="123" t="s">
        <v>16</v>
      </c>
      <c r="P18" s="206">
        <v>0.22</v>
      </c>
    </row>
    <row r="19" spans="3:16" ht="17" thickBot="1" x14ac:dyDescent="0.25">
      <c r="C19" s="155" t="s">
        <v>117</v>
      </c>
      <c r="D19" s="183" t="str">
        <f>IFERROR(D18/D17,"")</f>
        <v/>
      </c>
      <c r="E19" s="184" t="str">
        <f t="shared" ref="E19:K19" si="7">IFERROR(E18/E17,"")</f>
        <v/>
      </c>
      <c r="F19" s="184" t="str">
        <f t="shared" si="7"/>
        <v/>
      </c>
      <c r="G19" s="184" t="str">
        <f t="shared" si="7"/>
        <v/>
      </c>
      <c r="H19" s="184" t="str">
        <f t="shared" si="7"/>
        <v/>
      </c>
      <c r="I19" s="184" t="str">
        <f t="shared" si="7"/>
        <v/>
      </c>
      <c r="J19" s="184" t="str">
        <f t="shared" si="7"/>
        <v/>
      </c>
      <c r="K19" s="184" t="str">
        <f t="shared" si="7"/>
        <v/>
      </c>
      <c r="L19" s="226">
        <f>P18</f>
        <v>0.22</v>
      </c>
      <c r="M19" s="227">
        <f>P18</f>
        <v>0.22</v>
      </c>
      <c r="N19" s="86"/>
      <c r="O19" s="194" t="s">
        <v>116</v>
      </c>
      <c r="P19" s="196" t="str">
        <f>IFERROR(AVERAGE(D19:K19),"")</f>
        <v/>
      </c>
    </row>
    <row r="20" spans="3:16" ht="17" thickBot="1" x14ac:dyDescent="0.25">
      <c r="C20" s="152" t="s">
        <v>94</v>
      </c>
      <c r="D20" s="97">
        <f>D17-D18</f>
        <v>0</v>
      </c>
      <c r="E20" s="96">
        <f t="shared" ref="E20:M20" si="8">E17-E18</f>
        <v>0</v>
      </c>
      <c r="F20" s="96">
        <f t="shared" si="8"/>
        <v>0</v>
      </c>
      <c r="G20" s="96">
        <f t="shared" si="8"/>
        <v>0</v>
      </c>
      <c r="H20" s="96">
        <f t="shared" si="8"/>
        <v>0</v>
      </c>
      <c r="I20" s="96">
        <f t="shared" si="8"/>
        <v>0</v>
      </c>
      <c r="J20" s="96">
        <f t="shared" si="8"/>
        <v>0</v>
      </c>
      <c r="K20" s="96">
        <f t="shared" si="8"/>
        <v>0</v>
      </c>
      <c r="L20" s="125">
        <f t="shared" si="8"/>
        <v>0</v>
      </c>
      <c r="M20" s="126">
        <f t="shared" si="8"/>
        <v>0</v>
      </c>
      <c r="N20" s="86"/>
      <c r="O20" s="88"/>
    </row>
    <row r="21" spans="3:16" ht="17" thickBot="1" x14ac:dyDescent="0.25">
      <c r="C21" s="171" t="s">
        <v>1</v>
      </c>
      <c r="D21" s="118">
        <f t="shared" ref="D21:K21" si="9">D14+D13</f>
        <v>0</v>
      </c>
      <c r="E21" s="119">
        <f t="shared" si="9"/>
        <v>0</v>
      </c>
      <c r="F21" s="119">
        <f t="shared" si="9"/>
        <v>0</v>
      </c>
      <c r="G21" s="119">
        <f t="shared" si="9"/>
        <v>0</v>
      </c>
      <c r="H21" s="119">
        <f t="shared" si="9"/>
        <v>0</v>
      </c>
      <c r="I21" s="119">
        <f t="shared" si="9"/>
        <v>0</v>
      </c>
      <c r="J21" s="119">
        <f t="shared" si="9"/>
        <v>0</v>
      </c>
      <c r="K21" s="120">
        <f t="shared" si="9"/>
        <v>0</v>
      </c>
      <c r="L21" s="126">
        <f t="shared" ref="L21:M21" si="10">L14+L13</f>
        <v>0</v>
      </c>
      <c r="M21" s="126">
        <f t="shared" si="10"/>
        <v>0</v>
      </c>
      <c r="N21" s="41"/>
      <c r="O21" s="88"/>
    </row>
    <row r="22" spans="3:16" ht="17" thickBot="1" x14ac:dyDescent="0.25">
      <c r="C22" s="144" t="s">
        <v>95</v>
      </c>
      <c r="D22" s="145"/>
      <c r="E22" s="146"/>
      <c r="F22" s="146"/>
      <c r="G22" s="147"/>
      <c r="H22" s="147"/>
      <c r="I22" s="147"/>
      <c r="J22" s="147"/>
      <c r="K22" s="148"/>
      <c r="L22" s="147"/>
      <c r="M22" s="148"/>
      <c r="N22" s="85"/>
      <c r="O22" s="89"/>
    </row>
    <row r="23" spans="3:16" ht="16" thickBot="1" x14ac:dyDescent="0.25"/>
    <row r="24" spans="3:16" ht="17" thickBot="1" x14ac:dyDescent="0.25">
      <c r="C24" s="9" t="s">
        <v>89</v>
      </c>
      <c r="D24" s="207"/>
      <c r="E24" s="9"/>
      <c r="F24" s="9" t="s">
        <v>113</v>
      </c>
      <c r="G24" s="95"/>
      <c r="H24" s="9"/>
      <c r="I24" s="98" t="s">
        <v>19</v>
      </c>
      <c r="J24" s="175" t="str">
        <f>IFERROR(G27/K14,"")</f>
        <v/>
      </c>
      <c r="L24" s="702" t="s">
        <v>79</v>
      </c>
      <c r="M24" s="703"/>
      <c r="N24" s="177"/>
    </row>
    <row r="25" spans="3:16" ht="17" thickBot="1" x14ac:dyDescent="0.25">
      <c r="C25" s="9" t="s">
        <v>96</v>
      </c>
      <c r="D25" s="208"/>
      <c r="E25" s="9"/>
      <c r="F25" s="9" t="s">
        <v>114</v>
      </c>
      <c r="G25" s="167">
        <f>K22*G24</f>
        <v>0</v>
      </c>
      <c r="H25" s="9"/>
      <c r="I25" s="161" t="s">
        <v>18</v>
      </c>
      <c r="J25" s="154" t="str">
        <f>IFERROR(G27/K21,"")</f>
        <v/>
      </c>
      <c r="L25" s="698" t="s">
        <v>127</v>
      </c>
      <c r="M25" s="699"/>
      <c r="N25" s="178" t="str">
        <f>IFERROR(K10/K8,"")</f>
        <v/>
      </c>
    </row>
    <row r="26" spans="3:16" ht="17" thickBot="1" x14ac:dyDescent="0.25">
      <c r="C26" s="9" t="s">
        <v>97</v>
      </c>
      <c r="D26" s="88">
        <f>D24*D25</f>
        <v>0</v>
      </c>
      <c r="E26" s="9"/>
      <c r="F26" s="9" t="s">
        <v>119</v>
      </c>
      <c r="G26" s="95"/>
      <c r="H26" s="9"/>
      <c r="I26" s="161" t="s">
        <v>20</v>
      </c>
      <c r="J26" s="154" t="str">
        <f>IFERROR((G25/(K21-K16-K18)),"")</f>
        <v/>
      </c>
      <c r="L26" s="700" t="s">
        <v>128</v>
      </c>
      <c r="M26" s="701"/>
      <c r="N26" s="179" t="str">
        <f>IFERROR((K12/K8)*360,"")</f>
        <v/>
      </c>
    </row>
    <row r="27" spans="3:16" ht="17" thickBot="1" x14ac:dyDescent="0.25">
      <c r="C27" s="9" t="s">
        <v>98</v>
      </c>
      <c r="D27" s="209"/>
      <c r="E27" s="9"/>
      <c r="F27" s="9" t="s">
        <v>120</v>
      </c>
      <c r="G27" s="202">
        <f>G25+G26</f>
        <v>0</v>
      </c>
      <c r="H27" s="9"/>
      <c r="I27" s="162" t="s">
        <v>17</v>
      </c>
      <c r="J27" s="176" t="str">
        <f>IFERROR(G25/K20,"")</f>
        <v/>
      </c>
      <c r="L27" s="128"/>
    </row>
    <row r="28" spans="3:16" ht="16" x14ac:dyDescent="0.2">
      <c r="C28" s="9" t="s">
        <v>99</v>
      </c>
      <c r="D28" s="88">
        <f>D26-(D26*D27)</f>
        <v>0</v>
      </c>
      <c r="E28" s="9"/>
      <c r="F28" s="9"/>
      <c r="G28" s="9"/>
      <c r="H28" s="9"/>
      <c r="I28" s="9"/>
      <c r="J28" s="9"/>
      <c r="K28" s="128"/>
      <c r="L28" s="128"/>
    </row>
    <row r="29" spans="3:16" ht="16" x14ac:dyDescent="0.2">
      <c r="C29" s="9" t="s">
        <v>100</v>
      </c>
      <c r="D29" s="210"/>
      <c r="E29" s="9"/>
      <c r="F29" s="9"/>
      <c r="G29" s="9"/>
      <c r="H29" s="9"/>
      <c r="I29" s="9"/>
      <c r="J29" s="9"/>
      <c r="K29" s="128"/>
      <c r="L29" s="128"/>
    </row>
    <row r="30" spans="3:16" ht="16" x14ac:dyDescent="0.2">
      <c r="C30" s="9" t="s">
        <v>101</v>
      </c>
      <c r="D30" s="210"/>
      <c r="E30" s="9"/>
      <c r="F30" s="9"/>
      <c r="G30" s="9"/>
      <c r="H30" s="9"/>
      <c r="I30" s="9"/>
      <c r="J30" s="9"/>
      <c r="K30" s="128"/>
      <c r="L30" s="128"/>
    </row>
    <row r="31" spans="3:16" ht="17" thickBot="1" x14ac:dyDescent="0.25">
      <c r="C31" s="9" t="s">
        <v>102</v>
      </c>
      <c r="D31" s="89">
        <f>D29-D30</f>
        <v>0</v>
      </c>
      <c r="E31" s="9"/>
      <c r="F31" s="9"/>
      <c r="G31" s="9"/>
      <c r="H31" s="9"/>
      <c r="I31" s="9"/>
      <c r="J31" s="9"/>
      <c r="K31" s="128"/>
      <c r="L31" s="128"/>
    </row>
    <row r="32" spans="3:16" ht="17" thickBot="1" x14ac:dyDescent="0.25">
      <c r="C32" s="9"/>
      <c r="D32" s="9"/>
      <c r="E32" s="9"/>
      <c r="F32" s="128"/>
      <c r="G32" s="9"/>
      <c r="H32" s="9"/>
      <c r="I32" s="9"/>
      <c r="J32" s="9"/>
      <c r="K32" s="128"/>
      <c r="L32" s="128"/>
    </row>
    <row r="33" spans="3:12" ht="17" thickBot="1" x14ac:dyDescent="0.25">
      <c r="C33" s="9" t="s">
        <v>103</v>
      </c>
      <c r="D33" s="127" t="str">
        <f>IFERROR(D26/G25,"")</f>
        <v/>
      </c>
      <c r="E33" s="9"/>
      <c r="F33" s="9"/>
      <c r="G33" s="9"/>
      <c r="H33" s="9"/>
      <c r="I33" s="9"/>
      <c r="J33" s="9"/>
      <c r="K33" s="128"/>
      <c r="L33" s="128"/>
    </row>
    <row r="34" spans="3:12" ht="16" x14ac:dyDescent="0.2">
      <c r="C34" s="9"/>
      <c r="D34" s="9"/>
      <c r="E34" s="9"/>
      <c r="F34" s="9"/>
      <c r="G34" s="9"/>
      <c r="H34" s="9"/>
      <c r="I34" s="9"/>
      <c r="J34" s="9"/>
      <c r="K34" s="128"/>
      <c r="L34" s="128"/>
    </row>
    <row r="35" spans="3:12" ht="16" x14ac:dyDescent="0.2">
      <c r="C35" s="163" t="s">
        <v>104</v>
      </c>
      <c r="D35" s="163"/>
      <c r="E35" s="9"/>
      <c r="F35" s="9"/>
      <c r="G35" s="9"/>
      <c r="H35" s="9"/>
      <c r="I35" s="9"/>
      <c r="J35" s="9"/>
      <c r="K35" s="128"/>
      <c r="L35" s="128"/>
    </row>
    <row r="36" spans="3:12" ht="17" thickBot="1" x14ac:dyDescent="0.25">
      <c r="C36" s="9"/>
      <c r="D36" s="9"/>
      <c r="E36" s="9"/>
      <c r="F36" s="9"/>
      <c r="G36" s="9"/>
      <c r="H36" s="9"/>
      <c r="I36" s="9"/>
      <c r="J36" s="9"/>
      <c r="K36" s="128"/>
      <c r="L36" s="128"/>
    </row>
    <row r="37" spans="3:12" ht="17" thickBot="1" x14ac:dyDescent="0.25">
      <c r="C37" s="9" t="s">
        <v>105</v>
      </c>
      <c r="D37" s="211"/>
      <c r="E37" s="9"/>
      <c r="F37" s="9"/>
      <c r="G37" s="9"/>
      <c r="H37" s="9"/>
      <c r="I37" s="9"/>
      <c r="J37" s="9"/>
      <c r="K37" s="128"/>
      <c r="L37" s="128"/>
    </row>
    <row r="38" spans="3:12" ht="16" x14ac:dyDescent="0.2">
      <c r="C38" s="9" t="s">
        <v>106</v>
      </c>
      <c r="D38" s="212">
        <v>0.09</v>
      </c>
      <c r="E38" s="9"/>
      <c r="F38" s="9"/>
      <c r="G38" s="9"/>
      <c r="H38" s="9"/>
      <c r="I38" s="9"/>
      <c r="J38" s="9"/>
      <c r="K38" s="128"/>
      <c r="L38" s="128"/>
    </row>
    <row r="39" spans="3:12" ht="17" thickBot="1" x14ac:dyDescent="0.25">
      <c r="C39" s="9" t="s">
        <v>86</v>
      </c>
      <c r="D39" s="213">
        <v>0.02</v>
      </c>
      <c r="E39" s="9"/>
      <c r="F39" s="9"/>
      <c r="G39" s="9"/>
      <c r="H39" s="9"/>
      <c r="I39" s="9"/>
      <c r="J39" s="9"/>
      <c r="K39" s="128"/>
      <c r="L39" s="128"/>
    </row>
    <row r="40" spans="3:12" ht="17" thickBot="1" x14ac:dyDescent="0.25">
      <c r="C40" s="9"/>
      <c r="D40" s="9"/>
      <c r="E40" s="9"/>
      <c r="F40" s="9"/>
      <c r="G40" s="9"/>
      <c r="H40" s="9"/>
      <c r="I40" s="9"/>
      <c r="J40" s="9"/>
      <c r="K40" s="128"/>
      <c r="L40" s="128"/>
    </row>
    <row r="41" spans="3:12" ht="17" thickBot="1" x14ac:dyDescent="0.25">
      <c r="C41" s="9" t="s">
        <v>107</v>
      </c>
      <c r="D41" s="117">
        <f>D37*D25</f>
        <v>0</v>
      </c>
      <c r="E41" s="9"/>
      <c r="F41" s="9"/>
      <c r="G41" s="9"/>
      <c r="H41" s="9"/>
      <c r="I41" s="9"/>
      <c r="J41" s="9"/>
      <c r="K41" s="128"/>
      <c r="L41" s="128"/>
    </row>
    <row r="42" spans="3:12" ht="17" thickBot="1" x14ac:dyDescent="0.25">
      <c r="C42" s="9" t="s">
        <v>108</v>
      </c>
      <c r="D42" s="117">
        <f>D41-(D41*D27)</f>
        <v>0</v>
      </c>
      <c r="E42" s="9"/>
      <c r="F42" s="9"/>
      <c r="G42" s="9"/>
      <c r="H42" s="9"/>
      <c r="I42" s="9"/>
      <c r="J42" s="9"/>
      <c r="K42" s="128"/>
      <c r="L42" s="128"/>
    </row>
    <row r="43" spans="3:12" ht="17" thickBot="1" x14ac:dyDescent="0.25">
      <c r="C43" s="9"/>
      <c r="D43" s="9"/>
      <c r="E43" s="9"/>
      <c r="F43" s="9"/>
      <c r="G43" s="9"/>
      <c r="H43" s="9"/>
      <c r="I43" s="9"/>
      <c r="J43" s="9"/>
      <c r="K43" s="128"/>
      <c r="L43" s="128"/>
    </row>
    <row r="44" spans="3:12" ht="17" thickBot="1" x14ac:dyDescent="0.25">
      <c r="C44" s="9" t="s">
        <v>115</v>
      </c>
      <c r="D44" s="156">
        <f>((D42*(1+D39))/(D38-D39))</f>
        <v>0</v>
      </c>
      <c r="E44" s="9"/>
      <c r="F44" s="9"/>
      <c r="G44" s="9"/>
      <c r="H44" s="157"/>
      <c r="I44" s="9"/>
      <c r="J44" s="9"/>
      <c r="K44" s="128"/>
      <c r="L44" s="128"/>
    </row>
    <row r="45" spans="3:12" ht="17" thickBot="1" x14ac:dyDescent="0.25">
      <c r="C45" s="9" t="s">
        <v>112</v>
      </c>
      <c r="D45" s="158">
        <f>(D44/(1+D38))</f>
        <v>0</v>
      </c>
      <c r="E45" s="9"/>
      <c r="F45" s="9"/>
      <c r="G45" s="9"/>
      <c r="H45" s="9"/>
      <c r="I45" s="9"/>
      <c r="J45" s="9"/>
      <c r="K45" s="128"/>
      <c r="L45" s="128"/>
    </row>
    <row r="46" spans="3:12" ht="16" x14ac:dyDescent="0.2">
      <c r="C46" s="9" t="s">
        <v>109</v>
      </c>
      <c r="D46" s="87">
        <f>D31+D28</f>
        <v>0</v>
      </c>
      <c r="E46" s="9"/>
      <c r="F46" s="9"/>
      <c r="G46" s="9"/>
      <c r="H46" s="9"/>
      <c r="I46" s="9"/>
      <c r="J46" s="9"/>
      <c r="K46" s="128"/>
      <c r="L46" s="128"/>
    </row>
    <row r="47" spans="3:12" ht="17" thickBot="1" x14ac:dyDescent="0.25">
      <c r="C47" s="9" t="s">
        <v>110</v>
      </c>
      <c r="D47" s="100">
        <f>D46+D45</f>
        <v>0</v>
      </c>
      <c r="E47" s="9"/>
      <c r="F47" s="9"/>
      <c r="G47" s="9"/>
      <c r="H47" s="9"/>
      <c r="I47" s="9"/>
      <c r="J47" s="9"/>
      <c r="K47" s="128"/>
      <c r="L47" s="128"/>
    </row>
    <row r="48" spans="3:12" ht="17" thickBot="1" x14ac:dyDescent="0.25">
      <c r="C48" s="159" t="s">
        <v>111</v>
      </c>
      <c r="D48" s="160" t="str">
        <f>IFERROR(D47/K22,"")</f>
        <v/>
      </c>
      <c r="E48" s="9"/>
      <c r="F48" s="9"/>
      <c r="G48" s="9"/>
      <c r="H48" s="9"/>
      <c r="I48" s="9"/>
      <c r="J48" s="9"/>
      <c r="K48" s="128"/>
      <c r="L48" s="128"/>
    </row>
    <row r="49" spans="3:12" ht="17" thickBot="1" x14ac:dyDescent="0.25">
      <c r="C49" s="9" t="s">
        <v>129</v>
      </c>
      <c r="D49" s="203" t="str">
        <f>IFERROR(1-(G24/D48),"")</f>
        <v/>
      </c>
      <c r="E49" s="128"/>
      <c r="F49" s="128"/>
      <c r="G49" s="128"/>
      <c r="H49" s="128"/>
      <c r="I49" s="128"/>
      <c r="J49" s="128"/>
      <c r="K49" s="128"/>
      <c r="L49" s="128"/>
    </row>
  </sheetData>
  <sheetProtection sheet="1" objects="1" scenarios="1" selectLockedCells="1"/>
  <mergeCells count="4">
    <mergeCell ref="D1:K1"/>
    <mergeCell ref="L25:M25"/>
    <mergeCell ref="L26:M26"/>
    <mergeCell ref="L24:M24"/>
  </mergeCells>
  <conditionalFormatting sqref="P19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{31EE2B56-B25F-481B-A3DC-23D15FA6B4B0}</x14:id>
        </ext>
      </extLst>
    </cfRule>
  </conditionalFormatting>
  <conditionalFormatting sqref="D49">
    <cfRule type="dataBar" priority="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{1535D1EA-DBA4-4AE0-AEC2-49EBF3EFEE26}</x14:id>
        </ext>
      </extLst>
    </cfRule>
  </conditionalFormatting>
  <conditionalFormatting sqref="D33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{5F00C8FB-867F-4648-9C7E-DE7E83478F02}</x14:id>
        </ext>
      </extLst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B56-B25F-481B-A3DC-23D15FA6B4B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P19</xm:sqref>
        </x14:conditionalFormatting>
        <x14:conditionalFormatting xmlns:xm="http://schemas.microsoft.com/office/excel/2006/main">
          <x14:cfRule type="dataBar" id="{1535D1EA-DBA4-4AE0-AEC2-49EBF3EFEE26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5F00C8FB-867F-4648-9C7E-DE7E83478F02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D33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500-00001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Ingeniería'!D14:K14</xm:f>
              <xm:sqref>N14</xm:sqref>
            </x14:sparkline>
          </x14:sparklines>
        </x14:sparklineGroup>
        <x14:sparklineGroup type="column" displayEmptyCellsAs="gap" xr2:uid="{00000000-0003-0000-0500-00001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Ingeniería'!D7:K7</xm:f>
              <xm:sqref>N7</xm:sqref>
            </x14:sparkline>
          </x14:sparklines>
        </x14:sparklineGroup>
        <x14:sparklineGroup type="column" displayEmptyCellsAs="gap" xr2:uid="{00000000-0003-0000-0500-00001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Ingeniería'!D6:K6</xm:f>
              <xm:sqref>N6</xm:sqref>
            </x14:sparkline>
          </x14:sparklines>
        </x14:sparklineGroup>
        <x14:sparklineGroup type="column" displayEmptyCellsAs="gap" xr2:uid="{00000000-0003-0000-0500-00000F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Ingeniería'!D5:K5</xm:f>
              <xm:sqref>N5</xm:sqref>
            </x14:sparkline>
          </x14:sparklines>
        </x14:sparklineGroup>
        <x14:sparklineGroup type="column" displayEmptyCellsAs="gap" xr2:uid="{00000000-0003-0000-05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Ingeniería'!D4:K4</xm:f>
              <xm:sqref>N4</xm:sqref>
            </x14:sparkline>
          </x14:sparklines>
        </x14:sparklineGroup>
        <x14:sparklineGroup type="column" displayEmptyCellsAs="gap" xr2:uid="{00000000-0003-0000-05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Ingeniería'!D3:K3</xm:f>
              <xm:sqref>N3</xm:sqref>
            </x14:sparkline>
          </x14:sparklines>
        </x14:sparklineGroup>
        <x14:sparklineGroup type="column" displayEmptyCellsAs="gap" xr2:uid="{00000000-0003-0000-05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Ingeniería'!D15:K15</xm:f>
              <xm:sqref>N15</xm:sqref>
            </x14:sparkline>
          </x14:sparklines>
        </x14:sparklineGroup>
        <x14:sparklineGroup displayEmptyCellsAs="gap" xr2:uid="{00000000-0003-0000-05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Ingeniería'!D12:K12</xm:f>
              <xm:sqref>N12</xm:sqref>
            </x14:sparkline>
          </x14:sparklines>
        </x14:sparklineGroup>
        <x14:sparklineGroup displayEmptyCellsAs="gap" xr2:uid="{00000000-0003-0000-05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Ingeniería'!D10:K10</xm:f>
              <xm:sqref>N10</xm:sqref>
            </x14:sparkline>
          </x14:sparklines>
        </x14:sparklineGroup>
        <x14:sparklineGroup displayEmptyCellsAs="gap" xr2:uid="{00000000-0003-0000-05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Ingeniería'!D8:K8</xm:f>
              <xm:sqref>N8</xm:sqref>
            </x14:sparkline>
          </x14:sparklines>
        </x14:sparklineGroup>
        <x14:sparklineGroup displayEmptyCellsAs="gap" xr2:uid="{00000000-0003-0000-05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Ingeniería'!D18:K18</xm:f>
              <xm:sqref>N18</xm:sqref>
            </x14:sparkline>
          </x14:sparklines>
        </x14:sparklineGroup>
        <x14:sparklineGroup displayEmptyCellsAs="gap" xr2:uid="{00000000-0003-0000-05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Ingeniería'!D20:K20</xm:f>
              <xm:sqref>N20</xm:sqref>
            </x14:sparkline>
          </x14:sparklines>
        </x14:sparklineGroup>
        <x14:sparklineGroup displayEmptyCellsAs="gap" xr2:uid="{00000000-0003-0000-05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'6. Ingeniería'!D21:K21</xm:f>
              <xm:sqref>N21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Income Statement_P&amp;L</vt:lpstr>
      <vt:lpstr>Balance</vt:lpstr>
      <vt:lpstr> Cash Flow</vt:lpstr>
      <vt:lpstr>Valuation</vt:lpstr>
      <vt:lpstr>6. Ingeniería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2022-07-28T14:59:25Z</dcterms:modified>
</cp:coreProperties>
</file>